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YandexDisk\Петанк\Турниры\Зимний тет\2025\"/>
    </mc:Choice>
  </mc:AlternateContent>
  <bookViews>
    <workbookView xWindow="0" yWindow="0" windowWidth="20730" windowHeight="11760" firstSheet="5" activeTab="17"/>
  </bookViews>
  <sheets>
    <sheet name="ПоМ1" sheetId="34" r:id="rId1"/>
    <sheet name="ПоМ2" sheetId="35" r:id="rId2"/>
    <sheet name="ТМ1" sheetId="36" r:id="rId3"/>
    <sheet name="ТМ2" sheetId="39" r:id="rId4"/>
    <sheet name="ПМ1" sheetId="37" r:id="rId5"/>
    <sheet name="ПМ2" sheetId="38" r:id="rId6"/>
    <sheet name="ПМ3" sheetId="40" r:id="rId7"/>
    <sheet name="АМ1" sheetId="41" r:id="rId8"/>
    <sheet name="ДМ1" sheetId="43" r:id="rId9"/>
    <sheet name="ММ1" sheetId="42" r:id="rId10"/>
    <sheet name="ММ2" sheetId="45" r:id="rId11"/>
    <sheet name="ММ3" sheetId="46" r:id="rId12"/>
    <sheet name="ММ4" sheetId="47" r:id="rId13"/>
    <sheet name="ММ5" sheetId="48" r:id="rId14"/>
    <sheet name="КМ1" sheetId="49" r:id="rId15"/>
    <sheet name="КМ2" sheetId="50" r:id="rId16"/>
    <sheet name="Лист ож Москва" sheetId="44" r:id="rId17"/>
    <sheet name="Финалисты" sheetId="51" r:id="rId18"/>
    <sheet name="Служебный лист" sheetId="4" state="hidden" r:id="rId19"/>
  </sheets>
  <calcPr calcId="162913" refMode="R1C1"/>
</workbook>
</file>

<file path=xl/calcChain.xml><?xml version="1.0" encoding="utf-8"?>
<calcChain xmlns="http://schemas.openxmlformats.org/spreadsheetml/2006/main">
  <c r="F42" i="51" l="1"/>
  <c r="C42" i="51"/>
  <c r="F41" i="51"/>
  <c r="E41" i="51"/>
  <c r="C41" i="51"/>
  <c r="F40" i="51"/>
  <c r="E40" i="51"/>
  <c r="C40" i="51"/>
  <c r="F39" i="51"/>
  <c r="E39" i="51"/>
  <c r="C39" i="51"/>
  <c r="F38" i="51"/>
  <c r="E38" i="51"/>
  <c r="C38" i="51"/>
  <c r="F4" i="44"/>
  <c r="E4" i="44"/>
  <c r="C4" i="44"/>
  <c r="H41" i="49"/>
  <c r="H42" i="49"/>
  <c r="H40" i="49"/>
  <c r="H36" i="49"/>
  <c r="H32" i="49"/>
  <c r="H30" i="49"/>
  <c r="H26" i="49"/>
  <c r="H22" i="49"/>
  <c r="H20" i="49"/>
  <c r="G14" i="49"/>
  <c r="G12" i="49"/>
  <c r="G10" i="49"/>
  <c r="G8" i="49"/>
  <c r="H6" i="49"/>
  <c r="H4" i="49"/>
  <c r="C41" i="49"/>
  <c r="C37" i="49"/>
  <c r="C35" i="49"/>
  <c r="C31" i="49"/>
  <c r="C27" i="49"/>
  <c r="C25" i="49"/>
  <c r="C21" i="49"/>
  <c r="J14" i="49"/>
  <c r="F14" i="49"/>
  <c r="H12" i="49"/>
  <c r="K10" i="49"/>
  <c r="F10" i="49"/>
  <c r="I8" i="49"/>
  <c r="K6" i="49"/>
  <c r="F6" i="49"/>
  <c r="I4" i="49"/>
  <c r="H42" i="50"/>
  <c r="H40" i="50"/>
  <c r="H36" i="50"/>
  <c r="H32" i="50"/>
  <c r="H30" i="50"/>
  <c r="H26" i="50"/>
  <c r="H22" i="50"/>
  <c r="H20" i="50"/>
  <c r="G14" i="50"/>
  <c r="G12" i="50"/>
  <c r="G10" i="50"/>
  <c r="G8" i="50"/>
  <c r="H6" i="50"/>
  <c r="C42" i="50"/>
  <c r="C40" i="50"/>
  <c r="C36" i="50"/>
  <c r="C32" i="50"/>
  <c r="C30" i="50"/>
  <c r="C26" i="50"/>
  <c r="C22" i="50"/>
  <c r="C20" i="50"/>
  <c r="H14" i="50"/>
  <c r="K12" i="50"/>
  <c r="F12" i="50"/>
  <c r="H10" i="50"/>
  <c r="K8" i="50"/>
  <c r="F8" i="50"/>
  <c r="I6" i="50"/>
  <c r="K4" i="50"/>
  <c r="G4" i="50"/>
  <c r="H37" i="49"/>
  <c r="H35" i="49"/>
  <c r="H31" i="49"/>
  <c r="H27" i="49"/>
  <c r="H25" i="49"/>
  <c r="H21" i="49"/>
  <c r="I14" i="49"/>
  <c r="I12" i="49"/>
  <c r="J10" i="49"/>
  <c r="J8" i="49"/>
  <c r="J6" i="49"/>
  <c r="J4" i="49"/>
  <c r="C42" i="49"/>
  <c r="C40" i="49"/>
  <c r="C36" i="49"/>
  <c r="C32" i="49"/>
  <c r="C30" i="49"/>
  <c r="C26" i="49"/>
  <c r="C22" i="49"/>
  <c r="C20" i="49"/>
  <c r="H14" i="49"/>
  <c r="K12" i="49"/>
  <c r="F12" i="49"/>
  <c r="H10" i="49"/>
  <c r="K8" i="49"/>
  <c r="F8" i="49"/>
  <c r="I6" i="49"/>
  <c r="K4" i="49"/>
  <c r="G4" i="49"/>
  <c r="H41" i="50"/>
  <c r="H37" i="50"/>
  <c r="H35" i="50"/>
  <c r="H31" i="50"/>
  <c r="H27" i="50"/>
  <c r="H25" i="50"/>
  <c r="H21" i="50"/>
  <c r="I14" i="50"/>
  <c r="I12" i="50"/>
  <c r="J10" i="50"/>
  <c r="J8" i="50"/>
  <c r="J6" i="50"/>
  <c r="H4" i="50"/>
  <c r="C41" i="50"/>
  <c r="C37" i="50"/>
  <c r="C35" i="50"/>
  <c r="C31" i="50"/>
  <c r="C27" i="50"/>
  <c r="C25" i="50"/>
  <c r="C21" i="50"/>
  <c r="J14" i="50"/>
  <c r="F14" i="50"/>
  <c r="H12" i="50"/>
  <c r="K10" i="50"/>
  <c r="F10" i="50"/>
  <c r="I8" i="50"/>
  <c r="K6" i="50"/>
  <c r="F6" i="50"/>
  <c r="I4" i="50"/>
  <c r="J4" i="50"/>
  <c r="F6" i="44" l="1"/>
  <c r="E6" i="44"/>
  <c r="C6" i="44"/>
  <c r="J5" i="50"/>
  <c r="F7" i="50"/>
  <c r="I9" i="50"/>
  <c r="K11" i="50"/>
  <c r="F15" i="50"/>
  <c r="H5" i="50"/>
  <c r="J9" i="50"/>
  <c r="I13" i="50"/>
  <c r="G5" i="49"/>
  <c r="I7" i="49"/>
  <c r="K9" i="49"/>
  <c r="F13" i="49"/>
  <c r="H15" i="49"/>
  <c r="J7" i="49"/>
  <c r="J11" i="49"/>
  <c r="I15" i="49"/>
  <c r="K5" i="50"/>
  <c r="F9" i="50"/>
  <c r="H11" i="50"/>
  <c r="K13" i="50"/>
  <c r="H7" i="50"/>
  <c r="G11" i="50"/>
  <c r="G15" i="50"/>
  <c r="F7" i="49"/>
  <c r="I9" i="49"/>
  <c r="K11" i="49"/>
  <c r="F15" i="49"/>
  <c r="H5" i="49"/>
  <c r="G9" i="49"/>
  <c r="G13" i="49"/>
  <c r="I5" i="50"/>
  <c r="K7" i="50"/>
  <c r="F11" i="50"/>
  <c r="H13" i="50"/>
  <c r="J15" i="50"/>
  <c r="J7" i="50"/>
  <c r="J11" i="50"/>
  <c r="I15" i="50"/>
  <c r="K5" i="49"/>
  <c r="F9" i="49"/>
  <c r="H11" i="49"/>
  <c r="K13" i="49"/>
  <c r="J5" i="49"/>
  <c r="J9" i="49"/>
  <c r="I13" i="49"/>
  <c r="G5" i="50"/>
  <c r="I7" i="50"/>
  <c r="K9" i="50"/>
  <c r="F13" i="50"/>
  <c r="H15" i="50"/>
  <c r="G9" i="50"/>
  <c r="G13" i="50"/>
  <c r="I5" i="49"/>
  <c r="K7" i="49"/>
  <c r="F11" i="49"/>
  <c r="H13" i="49"/>
  <c r="J15" i="49"/>
  <c r="H7" i="49"/>
  <c r="G11" i="49"/>
  <c r="G15" i="49"/>
  <c r="M11" i="49" l="1"/>
  <c r="L10" i="49"/>
  <c r="M13" i="50"/>
  <c r="L12" i="50"/>
  <c r="M5" i="50"/>
  <c r="L4" i="50"/>
  <c r="M9" i="49"/>
  <c r="L8" i="49"/>
  <c r="M11" i="50"/>
  <c r="L10" i="50"/>
  <c r="M15" i="49"/>
  <c r="L14" i="49"/>
  <c r="M7" i="49"/>
  <c r="L6" i="49"/>
  <c r="M9" i="50"/>
  <c r="L8" i="50"/>
  <c r="M13" i="49"/>
  <c r="L12" i="49"/>
  <c r="M5" i="49"/>
  <c r="L4" i="49"/>
  <c r="M15" i="50"/>
  <c r="L14" i="50"/>
  <c r="M7" i="50"/>
  <c r="L6" i="50"/>
  <c r="F7" i="44"/>
  <c r="C7" i="44"/>
  <c r="F3" i="44" l="1"/>
  <c r="E3" i="44"/>
  <c r="C3" i="44"/>
  <c r="F5" i="44" l="1"/>
  <c r="E5" i="44"/>
  <c r="C5" i="44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7" i="4"/>
  <c r="B7" i="4"/>
  <c r="C7" i="4"/>
  <c r="D7" i="4"/>
  <c r="E7" i="4"/>
  <c r="F7" i="4"/>
  <c r="G7" i="4"/>
  <c r="F2" i="4"/>
  <c r="G2" i="4"/>
  <c r="F3" i="4"/>
  <c r="G3" i="4"/>
  <c r="F4" i="4"/>
  <c r="G4" i="4"/>
  <c r="F5" i="4"/>
  <c r="G5" i="4"/>
  <c r="F6" i="4"/>
  <c r="G6" i="4"/>
  <c r="G1" i="4"/>
  <c r="A6" i="4"/>
  <c r="B6" i="4"/>
  <c r="C6" i="4"/>
  <c r="D6" i="4"/>
  <c r="E6" i="4"/>
  <c r="F1" i="4"/>
  <c r="A5" i="4"/>
  <c r="B5" i="4"/>
  <c r="C5" i="4"/>
  <c r="D5" i="4"/>
  <c r="E5" i="4"/>
  <c r="E1" i="4"/>
  <c r="E2" i="4"/>
  <c r="E3" i="4"/>
  <c r="E4" i="4"/>
  <c r="A4" i="4"/>
  <c r="B4" i="4"/>
  <c r="C4" i="4"/>
  <c r="D4" i="4"/>
  <c r="D1" i="4"/>
  <c r="D2" i="4"/>
  <c r="D3" i="4"/>
  <c r="A2" i="4"/>
  <c r="B2" i="4"/>
  <c r="C2" i="4"/>
  <c r="A3" i="4"/>
  <c r="B3" i="4"/>
  <c r="C3" i="4"/>
  <c r="C1" i="4"/>
  <c r="A1" i="4"/>
  <c r="B1" i="4"/>
  <c r="AA7" i="4"/>
  <c r="N6" i="4"/>
  <c r="S4" i="4"/>
  <c r="AB3" i="4"/>
  <c r="P6" i="4"/>
  <c r="AA3" i="4" l="1"/>
  <c r="W2" i="4"/>
  <c r="AA6" i="4"/>
  <c r="Z2" i="4"/>
  <c r="W1" i="4"/>
  <c r="Y2" i="4"/>
  <c r="U4" i="4"/>
  <c r="X2" i="4"/>
  <c r="V4" i="4"/>
  <c r="W8" i="4"/>
  <c r="U3" i="4"/>
  <c r="AB2" i="4"/>
  <c r="AA1" i="4"/>
  <c r="W3" i="4"/>
  <c r="W7" i="4"/>
  <c r="U6" i="4"/>
  <c r="X1" i="4"/>
  <c r="Z7" i="4"/>
  <c r="V6" i="4"/>
  <c r="X3" i="4"/>
  <c r="X6" i="4"/>
  <c r="Z5" i="4"/>
  <c r="Y6" i="4"/>
  <c r="AB8" i="4"/>
  <c r="U8" i="4"/>
  <c r="X4" i="4"/>
  <c r="AB7" i="4"/>
  <c r="V5" i="4"/>
  <c r="AA8" i="4"/>
  <c r="U2" i="4"/>
  <c r="V7" i="4"/>
  <c r="Z8" i="4"/>
  <c r="L8" i="4"/>
  <c r="M2" i="4"/>
  <c r="R7" i="4"/>
  <c r="O6" i="4"/>
  <c r="M3" i="4"/>
  <c r="O7" i="4"/>
  <c r="Y1" i="4"/>
  <c r="AB6" i="4"/>
  <c r="W5" i="4"/>
  <c r="U1" i="4"/>
  <c r="V8" i="4"/>
  <c r="S8" i="4"/>
  <c r="L6" i="4"/>
  <c r="M5" i="4"/>
  <c r="O4" i="4"/>
  <c r="X7" i="4"/>
  <c r="S1" i="4"/>
  <c r="N8" i="4"/>
  <c r="Z1" i="4"/>
  <c r="M7" i="4"/>
  <c r="P2" i="4"/>
  <c r="M6" i="4"/>
  <c r="P3" i="4"/>
  <c r="Y8" i="4"/>
  <c r="P4" i="4"/>
  <c r="R4" i="4"/>
  <c r="AA4" i="4"/>
  <c r="R2" i="4"/>
  <c r="AA2" i="4"/>
  <c r="Y7" i="4"/>
  <c r="P7" i="4"/>
  <c r="U7" i="4"/>
  <c r="L7" i="4"/>
  <c r="V1" i="4"/>
  <c r="M1" i="4"/>
  <c r="Q4" i="4"/>
  <c r="AB5" i="4"/>
  <c r="S5" i="4"/>
  <c r="P8" i="4"/>
  <c r="O1" i="4"/>
  <c r="R1" i="4"/>
  <c r="N7" i="4"/>
  <c r="R6" i="4"/>
  <c r="Q8" i="4"/>
  <c r="R3" i="4"/>
  <c r="Q5" i="4"/>
  <c r="S7" i="4"/>
  <c r="L2" i="4"/>
  <c r="N2" i="4"/>
  <c r="Q2" i="4"/>
  <c r="N1" i="4"/>
  <c r="L4" i="4"/>
  <c r="O2" i="4"/>
  <c r="N5" i="4"/>
  <c r="P1" i="4"/>
  <c r="L1" i="4"/>
  <c r="S6" i="4"/>
  <c r="O3" i="4"/>
  <c r="M4" i="4"/>
  <c r="M8" i="4"/>
  <c r="P5" i="4"/>
  <c r="S2" i="4"/>
  <c r="AB1" i="4"/>
  <c r="V3" i="4"/>
  <c r="V2" i="4"/>
  <c r="Z4" i="4"/>
  <c r="Y4" i="4"/>
  <c r="Y5" i="4"/>
  <c r="U5" i="4"/>
  <c r="L5" i="4"/>
  <c r="W6" i="4"/>
  <c r="AA5" i="4"/>
  <c r="R5" i="4"/>
  <c r="R8" i="4"/>
  <c r="AB4" i="4"/>
  <c r="X8" i="4"/>
  <c r="O8" i="4"/>
  <c r="Z6" i="4"/>
  <c r="S3" i="4"/>
  <c r="L3" i="4"/>
  <c r="N3" i="4"/>
  <c r="Q6" i="4"/>
  <c r="W4" i="4"/>
  <c r="N4" i="4"/>
  <c r="Y3" i="4"/>
  <c r="O5" i="4"/>
  <c r="X5" i="4"/>
  <c r="Q1" i="4"/>
  <c r="Z3" i="4"/>
  <c r="Q3" i="4"/>
  <c r="Q7" i="4"/>
  <c r="J8" i="43"/>
  <c r="F6" i="43"/>
  <c r="H36" i="46"/>
  <c r="H40" i="43"/>
  <c r="I12" i="48"/>
  <c r="I4" i="41"/>
  <c r="K10" i="48"/>
  <c r="I8" i="47"/>
  <c r="H42" i="46"/>
  <c r="G12" i="45"/>
  <c r="G12" i="43"/>
  <c r="J10" i="45"/>
  <c r="J8" i="39"/>
  <c r="F10" i="42"/>
  <c r="F12" i="46"/>
  <c r="C26" i="46"/>
  <c r="J14" i="42"/>
  <c r="C24" i="42"/>
  <c r="H30" i="48"/>
  <c r="K6" i="42"/>
  <c r="C47" i="35"/>
  <c r="H37" i="46"/>
  <c r="C22" i="45"/>
  <c r="C32" i="42"/>
  <c r="H27" i="42"/>
  <c r="H32" i="42"/>
  <c r="H38" i="42"/>
  <c r="H22" i="38"/>
  <c r="Z22" i="4"/>
  <c r="C26" i="47"/>
  <c r="J14" i="47"/>
  <c r="C27" i="46"/>
  <c r="C31" i="47"/>
  <c r="I12" i="45"/>
  <c r="C33" i="42"/>
  <c r="C22" i="41"/>
  <c r="K4" i="47"/>
  <c r="H40" i="45"/>
  <c r="H26" i="45"/>
  <c r="C36" i="43"/>
  <c r="H30" i="47"/>
  <c r="H12" i="47"/>
  <c r="J8" i="42"/>
  <c r="K4" i="41"/>
  <c r="H35" i="47"/>
  <c r="H20" i="43"/>
  <c r="K8" i="43"/>
  <c r="I8" i="42"/>
  <c r="H27" i="46"/>
  <c r="H23" i="42"/>
  <c r="H47" i="34"/>
  <c r="H27" i="43"/>
  <c r="C20" i="48"/>
  <c r="I8" i="48"/>
  <c r="H35" i="41"/>
  <c r="H25" i="47"/>
  <c r="H32" i="39"/>
  <c r="L10" i="34"/>
  <c r="F14" i="36"/>
  <c r="H6" i="39"/>
  <c r="C22" i="48"/>
  <c r="H20" i="47"/>
  <c r="F10" i="46"/>
  <c r="K6" i="46"/>
  <c r="C37" i="45"/>
  <c r="J4" i="47"/>
  <c r="J4" i="46"/>
  <c r="H37" i="41"/>
  <c r="H12" i="40"/>
  <c r="K4" i="43"/>
  <c r="H42" i="47"/>
  <c r="H6" i="47"/>
  <c r="G12" i="46"/>
  <c r="G8" i="47"/>
  <c r="G9" i="47"/>
  <c r="H35" i="39"/>
  <c r="C31" i="40"/>
  <c r="C31" i="46"/>
  <c r="H32" i="48"/>
  <c r="H32" i="46"/>
  <c r="H54" i="42"/>
  <c r="H49" i="42"/>
  <c r="C30" i="41"/>
  <c r="G14" i="35"/>
  <c r="C31" i="48"/>
  <c r="J6" i="48"/>
  <c r="C40" i="45"/>
  <c r="C27" i="40"/>
  <c r="G13" i="43"/>
  <c r="I16" i="42"/>
  <c r="N14" i="4"/>
  <c r="X19" i="4"/>
  <c r="F10" i="48"/>
  <c r="K6" i="48"/>
  <c r="G4" i="47"/>
  <c r="H40" i="47"/>
  <c r="C31" i="45"/>
  <c r="F12" i="41"/>
  <c r="C20" i="40"/>
  <c r="I4" i="48"/>
  <c r="C36" i="46"/>
  <c r="H4" i="46"/>
  <c r="C20" i="45"/>
  <c r="H41" i="43"/>
  <c r="J8" i="46"/>
  <c r="G14" i="48"/>
  <c r="H40" i="40"/>
  <c r="H12" i="48"/>
  <c r="H36" i="47"/>
  <c r="H4" i="42"/>
  <c r="K6" i="39"/>
  <c r="H14" i="42"/>
  <c r="H12" i="41"/>
  <c r="G10" i="35"/>
  <c r="K12" i="47"/>
  <c r="I6" i="46"/>
  <c r="K12" i="41"/>
  <c r="C42" i="39"/>
  <c r="C43" i="42"/>
  <c r="K16" i="42"/>
  <c r="C42" i="42"/>
  <c r="V12" i="4"/>
  <c r="X23" i="4"/>
  <c r="H4" i="45"/>
  <c r="C31" i="43"/>
  <c r="H30" i="43"/>
  <c r="C41" i="48"/>
  <c r="C35" i="48"/>
  <c r="F14" i="47"/>
  <c r="H31" i="47"/>
  <c r="F12" i="47"/>
  <c r="G8" i="46"/>
  <c r="C41" i="41"/>
  <c r="I12" i="40"/>
  <c r="H37" i="45"/>
  <c r="C25" i="43"/>
  <c r="C25" i="48"/>
  <c r="H26" i="47"/>
  <c r="C27" i="43"/>
  <c r="G8" i="43"/>
  <c r="I4" i="47"/>
  <c r="C30" i="40"/>
  <c r="I12" i="47"/>
  <c r="H25" i="43"/>
  <c r="C27" i="42"/>
  <c r="F8" i="41"/>
  <c r="I6" i="40"/>
  <c r="G14" i="40"/>
  <c r="G14" i="38"/>
  <c r="C40" i="46"/>
  <c r="K10" i="46"/>
  <c r="J4" i="45"/>
  <c r="C21" i="46"/>
  <c r="L12" i="42"/>
  <c r="J9" i="43"/>
  <c r="F7" i="43"/>
  <c r="K6" i="43"/>
  <c r="I12" i="43"/>
  <c r="C41" i="43"/>
  <c r="H41" i="48"/>
  <c r="H21" i="43"/>
  <c r="C25" i="47"/>
  <c r="F8" i="43"/>
  <c r="H30" i="39"/>
  <c r="J14" i="43"/>
  <c r="I14" i="48"/>
  <c r="G12" i="47"/>
  <c r="C20" i="46"/>
  <c r="F6" i="46"/>
  <c r="H37" i="48"/>
  <c r="H26" i="43"/>
  <c r="I4" i="46"/>
  <c r="C36" i="45"/>
  <c r="H32" i="43"/>
  <c r="C27" i="39"/>
  <c r="H43" i="42"/>
  <c r="J4" i="41"/>
  <c r="H20" i="39"/>
  <c r="F16" i="34"/>
  <c r="C21" i="43"/>
  <c r="C32" i="41"/>
  <c r="J6" i="39"/>
  <c r="H31" i="41"/>
  <c r="H34" i="42"/>
  <c r="C32" i="40"/>
  <c r="J10" i="35"/>
  <c r="X25" i="4"/>
  <c r="C22" i="46"/>
  <c r="F8" i="45"/>
  <c r="H22" i="43"/>
  <c r="J14" i="48"/>
  <c r="H27" i="48"/>
  <c r="H41" i="47"/>
  <c r="C41" i="47"/>
  <c r="J8" i="45"/>
  <c r="F8" i="48"/>
  <c r="G16" i="42"/>
  <c r="K10" i="45"/>
  <c r="J6" i="46"/>
  <c r="C32" i="43"/>
  <c r="J6" i="43"/>
  <c r="H14" i="48"/>
  <c r="H20" i="45"/>
  <c r="C36" i="40"/>
  <c r="K10" i="47"/>
  <c r="C37" i="43"/>
  <c r="H28" i="42"/>
  <c r="J6" i="42"/>
  <c r="H26" i="39"/>
  <c r="J4" i="39"/>
  <c r="I4" i="42"/>
  <c r="F12" i="43"/>
  <c r="F12" i="48"/>
  <c r="K6" i="41"/>
  <c r="H41" i="41"/>
  <c r="F12" i="40"/>
  <c r="I12" i="42"/>
  <c r="I5" i="41"/>
  <c r="I7" i="40"/>
  <c r="F8" i="46"/>
  <c r="I14" i="47"/>
  <c r="H6" i="43"/>
  <c r="K6" i="45"/>
  <c r="H12" i="46"/>
  <c r="G4" i="46"/>
  <c r="C37" i="46"/>
  <c r="H36" i="41"/>
  <c r="I6" i="43"/>
  <c r="H22" i="47"/>
  <c r="H40" i="48"/>
  <c r="H10" i="46"/>
  <c r="C40" i="48"/>
  <c r="K8" i="39"/>
  <c r="J6" i="41"/>
  <c r="F12" i="45"/>
  <c r="I6" i="47"/>
  <c r="H42" i="41"/>
  <c r="C35" i="40"/>
  <c r="K4" i="45"/>
  <c r="C49" i="42"/>
  <c r="H32" i="40"/>
  <c r="I5" i="48"/>
  <c r="K7" i="43"/>
  <c r="G4" i="43"/>
  <c r="C27" i="47"/>
  <c r="H37" i="40"/>
  <c r="C42" i="40"/>
  <c r="C48" i="42"/>
  <c r="J9" i="45"/>
  <c r="P18" i="4"/>
  <c r="G16" i="34"/>
  <c r="J8" i="47"/>
  <c r="C41" i="45"/>
  <c r="C41" i="46"/>
  <c r="H12" i="45"/>
  <c r="G8" i="48"/>
  <c r="C30" i="45"/>
  <c r="C32" i="46"/>
  <c r="C40" i="47"/>
  <c r="C42" i="45"/>
  <c r="H6" i="45"/>
  <c r="H32" i="47"/>
  <c r="G10" i="47"/>
  <c r="C35" i="43"/>
  <c r="F8" i="40"/>
  <c r="G12" i="39"/>
  <c r="F6" i="48"/>
  <c r="H12" i="43"/>
  <c r="C44" i="42"/>
  <c r="H42" i="40"/>
  <c r="F8" i="42"/>
  <c r="F14" i="41"/>
  <c r="H25" i="41"/>
  <c r="C42" i="38"/>
  <c r="H10" i="45"/>
  <c r="H10" i="43"/>
  <c r="C25" i="45"/>
  <c r="C40" i="40"/>
  <c r="F10" i="45"/>
  <c r="H41" i="40"/>
  <c r="H10" i="34"/>
  <c r="AA21" i="4"/>
  <c r="C42" i="47"/>
  <c r="J14" i="46"/>
  <c r="G4" i="48"/>
  <c r="C26" i="45"/>
  <c r="J10" i="46"/>
  <c r="F14" i="48"/>
  <c r="H41" i="46"/>
  <c r="K12" i="45"/>
  <c r="J4" i="48"/>
  <c r="J8" i="48"/>
  <c r="H30" i="46"/>
  <c r="H21" i="48"/>
  <c r="H25" i="46"/>
  <c r="F14" i="45"/>
  <c r="H42" i="43"/>
  <c r="C20" i="43"/>
  <c r="K8" i="46"/>
  <c r="K12" i="42"/>
  <c r="C34" i="42"/>
  <c r="C30" i="46"/>
  <c r="K12" i="39"/>
  <c r="G17" i="42"/>
  <c r="Y25" i="4"/>
  <c r="H26" i="48"/>
  <c r="J4" i="43"/>
  <c r="J14" i="45"/>
  <c r="J6" i="45"/>
  <c r="H21" i="45"/>
  <c r="I12" i="39"/>
  <c r="C30" i="37"/>
  <c r="G14" i="34"/>
  <c r="C27" i="35"/>
  <c r="F11" i="45"/>
  <c r="C27" i="45"/>
  <c r="G14" i="43"/>
  <c r="H6" i="46"/>
  <c r="C20" i="47"/>
  <c r="F10" i="47"/>
  <c r="G4" i="41"/>
  <c r="J10" i="48"/>
  <c r="C21" i="47"/>
  <c r="H37" i="47"/>
  <c r="J15" i="48"/>
  <c r="G10" i="46"/>
  <c r="H7" i="46"/>
  <c r="H14" i="43"/>
  <c r="F14" i="46"/>
  <c r="C32" i="48"/>
  <c r="C30" i="39"/>
  <c r="C31" i="39"/>
  <c r="H33" i="42"/>
  <c r="C40" i="41"/>
  <c r="H52" i="42"/>
  <c r="S12" i="4"/>
  <c r="H40" i="46"/>
  <c r="K12" i="46"/>
  <c r="H31" i="45"/>
  <c r="J16" i="42"/>
  <c r="F10" i="43"/>
  <c r="C20" i="39"/>
  <c r="K10" i="39"/>
  <c r="C28" i="34"/>
  <c r="C30" i="48"/>
  <c r="C32" i="47"/>
  <c r="K6" i="47"/>
  <c r="K12" i="43"/>
  <c r="I4" i="45"/>
  <c r="K8" i="48"/>
  <c r="I14" i="46"/>
  <c r="I14" i="42"/>
  <c r="H27" i="47"/>
  <c r="H31" i="43"/>
  <c r="H35" i="45"/>
  <c r="C37" i="47"/>
  <c r="H4" i="47"/>
  <c r="C35" i="47"/>
  <c r="C26" i="43"/>
  <c r="H14" i="39"/>
  <c r="F15" i="47"/>
  <c r="H20" i="46"/>
  <c r="K7" i="48"/>
  <c r="C25" i="40"/>
  <c r="F6" i="36"/>
  <c r="H14" i="46"/>
  <c r="C32" i="45"/>
  <c r="K4" i="40"/>
  <c r="K8" i="42"/>
  <c r="H10" i="40"/>
  <c r="H37" i="39"/>
  <c r="K5" i="43"/>
  <c r="H6" i="38"/>
  <c r="F10" i="37"/>
  <c r="C49" i="35"/>
  <c r="H10" i="39"/>
  <c r="F7" i="36"/>
  <c r="H41" i="39"/>
  <c r="H30" i="41"/>
  <c r="H4" i="43"/>
  <c r="H42" i="48"/>
  <c r="C21" i="40"/>
  <c r="K8" i="40"/>
  <c r="J6" i="47"/>
  <c r="H22" i="45"/>
  <c r="G10" i="45"/>
  <c r="C22" i="43"/>
  <c r="I6" i="48"/>
  <c r="C37" i="48"/>
  <c r="H22" i="46"/>
  <c r="C26" i="40"/>
  <c r="G10" i="43"/>
  <c r="C21" i="48"/>
  <c r="K4" i="48"/>
  <c r="C26" i="48"/>
  <c r="K8" i="47"/>
  <c r="K9" i="47" s="1"/>
  <c r="C37" i="41"/>
  <c r="G4" i="35"/>
  <c r="G4" i="45"/>
  <c r="H25" i="48"/>
  <c r="H25" i="39"/>
  <c r="G10" i="42"/>
  <c r="G10" i="39"/>
  <c r="H39" i="42"/>
  <c r="H20" i="41"/>
  <c r="N25" i="4"/>
  <c r="H10" i="47"/>
  <c r="H21" i="46"/>
  <c r="H35" i="46"/>
  <c r="H25" i="45"/>
  <c r="G12" i="48"/>
  <c r="C35" i="46"/>
  <c r="H27" i="40"/>
  <c r="F14" i="42"/>
  <c r="I12" i="46"/>
  <c r="H14" i="45"/>
  <c r="H37" i="43"/>
  <c r="C42" i="48"/>
  <c r="I6" i="45"/>
  <c r="C21" i="45"/>
  <c r="F12" i="42"/>
  <c r="H30" i="40"/>
  <c r="H31" i="48"/>
  <c r="G13" i="45"/>
  <c r="K4" i="46"/>
  <c r="C53" i="42"/>
  <c r="C35" i="39"/>
  <c r="F10" i="41"/>
  <c r="S23" i="4"/>
  <c r="H35" i="48"/>
  <c r="H14" i="47"/>
  <c r="H40" i="39"/>
  <c r="H20" i="40"/>
  <c r="G8" i="39"/>
  <c r="G4" i="40"/>
  <c r="J5" i="39"/>
  <c r="C53" i="35"/>
  <c r="H40" i="36"/>
  <c r="H42" i="42"/>
  <c r="C36" i="48"/>
  <c r="F8" i="47"/>
  <c r="H4" i="48"/>
  <c r="H21" i="47"/>
  <c r="G12" i="42"/>
  <c r="H21" i="40"/>
  <c r="I8" i="46"/>
  <c r="F14" i="43"/>
  <c r="F15" i="43" s="1"/>
  <c r="H36" i="43"/>
  <c r="G10" i="48"/>
  <c r="H36" i="45"/>
  <c r="C35" i="45"/>
  <c r="H12" i="39"/>
  <c r="G14" i="41"/>
  <c r="H27" i="45"/>
  <c r="C36" i="47"/>
  <c r="G8" i="45"/>
  <c r="H26" i="41"/>
  <c r="G11" i="45"/>
  <c r="L10" i="42"/>
  <c r="H22" i="40"/>
  <c r="K12" i="48"/>
  <c r="C22" i="47"/>
  <c r="H10" i="41"/>
  <c r="H47" i="42"/>
  <c r="F14" i="40"/>
  <c r="C54" i="42"/>
  <c r="C29" i="42"/>
  <c r="X20" i="4"/>
  <c r="G14" i="46"/>
  <c r="K8" i="45"/>
  <c r="F6" i="45"/>
  <c r="C30" i="43"/>
  <c r="H26" i="46"/>
  <c r="I14" i="43"/>
  <c r="K8" i="41"/>
  <c r="G12" i="41"/>
  <c r="H41" i="45"/>
  <c r="H36" i="48"/>
  <c r="H22" i="48"/>
  <c r="G14" i="47"/>
  <c r="H20" i="48"/>
  <c r="C27" i="48"/>
  <c r="F6" i="39"/>
  <c r="C35" i="41"/>
  <c r="H32" i="45"/>
  <c r="H10" i="48"/>
  <c r="C23" i="42"/>
  <c r="H31" i="40"/>
  <c r="I12" i="41"/>
  <c r="C26" i="41"/>
  <c r="C52" i="42"/>
  <c r="H53" i="34"/>
  <c r="I8" i="45"/>
  <c r="K10" i="43"/>
  <c r="I4" i="43"/>
  <c r="G8" i="42"/>
  <c r="H6" i="48"/>
  <c r="H42" i="39"/>
  <c r="K11" i="39"/>
  <c r="C20" i="38"/>
  <c r="I15" i="47"/>
  <c r="H4" i="40"/>
  <c r="C41" i="37"/>
  <c r="I14" i="34"/>
  <c r="F6" i="47"/>
  <c r="H32" i="41"/>
  <c r="J10" i="39"/>
  <c r="F15" i="40"/>
  <c r="M17" i="4"/>
  <c r="J15" i="45"/>
  <c r="I7" i="43"/>
  <c r="K17" i="42"/>
  <c r="F9" i="43"/>
  <c r="H33" i="34"/>
  <c r="H29" i="35"/>
  <c r="H31" i="38"/>
  <c r="H15" i="39"/>
  <c r="G8" i="40"/>
  <c r="K13" i="41"/>
  <c r="H43" i="35"/>
  <c r="C25" i="46"/>
  <c r="H48" i="42"/>
  <c r="J5" i="45"/>
  <c r="J8" i="35"/>
  <c r="I17" i="42"/>
  <c r="C25" i="41"/>
  <c r="J7" i="42"/>
  <c r="C27" i="38"/>
  <c r="H10" i="38"/>
  <c r="L12" i="34"/>
  <c r="K8" i="35"/>
  <c r="X13" i="4"/>
  <c r="G12" i="36"/>
  <c r="G10" i="41"/>
  <c r="N18" i="4"/>
  <c r="I14" i="45"/>
  <c r="H24" i="42"/>
  <c r="K6" i="40"/>
  <c r="H12" i="34"/>
  <c r="H21" i="36"/>
  <c r="K7" i="41"/>
  <c r="H21" i="39"/>
  <c r="H35" i="36"/>
  <c r="O17" i="4"/>
  <c r="F9" i="46"/>
  <c r="C22" i="34"/>
  <c r="C22" i="38"/>
  <c r="F13" i="42"/>
  <c r="H44" i="35"/>
  <c r="J15" i="42"/>
  <c r="X26" i="4"/>
  <c r="H42" i="45"/>
  <c r="I14" i="41"/>
  <c r="I13" i="43"/>
  <c r="G9" i="42"/>
  <c r="H11" i="47"/>
  <c r="J6" i="40"/>
  <c r="H13" i="40"/>
  <c r="K4" i="35"/>
  <c r="C37" i="35"/>
  <c r="C44" i="35"/>
  <c r="G10" i="36"/>
  <c r="N20" i="4"/>
  <c r="J11" i="45"/>
  <c r="C31" i="36"/>
  <c r="H29" i="34"/>
  <c r="S24" i="4"/>
  <c r="H22" i="36"/>
  <c r="L4" i="35"/>
  <c r="L11" i="42"/>
  <c r="C36" i="38"/>
  <c r="S11" i="4"/>
  <c r="I15" i="42"/>
  <c r="H20" i="38"/>
  <c r="M15" i="4"/>
  <c r="M14" i="4"/>
  <c r="F15" i="36"/>
  <c r="S21" i="4"/>
  <c r="M24" i="4"/>
  <c r="M26" i="4"/>
  <c r="K12" i="34"/>
  <c r="C43" i="35"/>
  <c r="G10" i="37"/>
  <c r="J4" i="38"/>
  <c r="H41" i="36"/>
  <c r="C31" i="37"/>
  <c r="Y22" i="4"/>
  <c r="H53" i="35"/>
  <c r="H25" i="37"/>
  <c r="K5" i="46"/>
  <c r="R11" i="4"/>
  <c r="U20" i="4"/>
  <c r="V19" i="4"/>
  <c r="K16" i="34"/>
  <c r="W15" i="4"/>
  <c r="K13" i="42"/>
  <c r="C48" i="35"/>
  <c r="F14" i="37"/>
  <c r="H52" i="34"/>
  <c r="M12" i="4"/>
  <c r="L22" i="4"/>
  <c r="C37" i="34"/>
  <c r="C42" i="36"/>
  <c r="H30" i="38"/>
  <c r="R22" i="4"/>
  <c r="H48" i="35"/>
  <c r="S18" i="4"/>
  <c r="M25" i="4"/>
  <c r="K8" i="38"/>
  <c r="C25" i="37"/>
  <c r="H28" i="34"/>
  <c r="R20" i="4"/>
  <c r="F12" i="35"/>
  <c r="F15" i="37"/>
  <c r="C32" i="35"/>
  <c r="G11" i="37"/>
  <c r="F14" i="39"/>
  <c r="K8" i="36"/>
  <c r="H31" i="46"/>
  <c r="G4" i="39"/>
  <c r="C36" i="41"/>
  <c r="J7" i="48"/>
  <c r="F6" i="35"/>
  <c r="L14" i="42"/>
  <c r="H42" i="37"/>
  <c r="C54" i="35"/>
  <c r="AA24" i="4"/>
  <c r="H36" i="40"/>
  <c r="C39" i="42"/>
  <c r="H4" i="41"/>
  <c r="F13" i="40"/>
  <c r="F15" i="48"/>
  <c r="F16" i="42"/>
  <c r="K11" i="45"/>
  <c r="I5" i="46"/>
  <c r="I5" i="42"/>
  <c r="I8" i="38"/>
  <c r="C31" i="38"/>
  <c r="Z11" i="4"/>
  <c r="G9" i="39"/>
  <c r="H12" i="42"/>
  <c r="R12" i="4"/>
  <c r="K10" i="41"/>
  <c r="F6" i="40"/>
  <c r="H11" i="41"/>
  <c r="L19" i="4"/>
  <c r="X16" i="4"/>
  <c r="K12" i="36"/>
  <c r="J8" i="40"/>
  <c r="H10" i="37"/>
  <c r="K9" i="46"/>
  <c r="C22" i="35"/>
  <c r="N19" i="4"/>
  <c r="G12" i="37"/>
  <c r="Q13" i="4"/>
  <c r="AB14" i="4"/>
  <c r="C21" i="41"/>
  <c r="K9" i="43"/>
  <c r="H6" i="42"/>
  <c r="G4" i="42"/>
  <c r="F12" i="39"/>
  <c r="O15" i="4"/>
  <c r="F13" i="46"/>
  <c r="H37" i="42"/>
  <c r="H5" i="43"/>
  <c r="I4" i="37"/>
  <c r="J5" i="48"/>
  <c r="J11" i="48"/>
  <c r="R23" i="4"/>
  <c r="F17" i="34"/>
  <c r="I13" i="45"/>
  <c r="C22" i="40"/>
  <c r="AA15" i="4"/>
  <c r="C30" i="47"/>
  <c r="G14" i="45"/>
  <c r="C26" i="39"/>
  <c r="C38" i="34"/>
  <c r="H32" i="34"/>
  <c r="N24" i="4"/>
  <c r="C21" i="39"/>
  <c r="I13" i="47"/>
  <c r="J10" i="34"/>
  <c r="F9" i="41"/>
  <c r="C40" i="36"/>
  <c r="H44" i="34"/>
  <c r="O14" i="4"/>
  <c r="L15" i="4"/>
  <c r="C25" i="38"/>
  <c r="J11" i="34"/>
  <c r="I16" i="35"/>
  <c r="Y24" i="4"/>
  <c r="H34" i="35"/>
  <c r="J7" i="40"/>
  <c r="C32" i="38"/>
  <c r="I6" i="38"/>
  <c r="H7" i="43"/>
  <c r="K4" i="37"/>
  <c r="I14" i="37"/>
  <c r="F14" i="38"/>
  <c r="I7" i="38"/>
  <c r="C30" i="36"/>
  <c r="H37" i="38"/>
  <c r="G5" i="40"/>
  <c r="C34" i="34"/>
  <c r="K7" i="39"/>
  <c r="W19" i="4"/>
  <c r="F8" i="36"/>
  <c r="O25" i="4"/>
  <c r="G15" i="35"/>
  <c r="H32" i="36"/>
  <c r="AA17" i="4"/>
  <c r="H42" i="36"/>
  <c r="J8" i="37"/>
  <c r="G13" i="39"/>
  <c r="F14" i="35"/>
  <c r="P14" i="4"/>
  <c r="X11" i="4"/>
  <c r="O22" i="4"/>
  <c r="G5" i="46"/>
  <c r="G8" i="35"/>
  <c r="H27" i="34"/>
  <c r="H22" i="35"/>
  <c r="U19" i="4"/>
  <c r="H15" i="48"/>
  <c r="H30" i="37"/>
  <c r="L13" i="34"/>
  <c r="AB12" i="4"/>
  <c r="W14" i="4"/>
  <c r="G4" i="36"/>
  <c r="L26" i="4"/>
  <c r="F8" i="35"/>
  <c r="I12" i="38"/>
  <c r="H6" i="36"/>
  <c r="S15" i="4"/>
  <c r="P25" i="4"/>
  <c r="H31" i="36"/>
  <c r="AB11" i="4"/>
  <c r="H34" i="34"/>
  <c r="F12" i="38"/>
  <c r="F11" i="47"/>
  <c r="C22" i="42"/>
  <c r="K9" i="42"/>
  <c r="K10" i="40"/>
  <c r="H16" i="42"/>
  <c r="C38" i="42"/>
  <c r="C33" i="35"/>
  <c r="H26" i="37"/>
  <c r="F7" i="35"/>
  <c r="H11" i="43"/>
  <c r="K9" i="40"/>
  <c r="L13" i="42"/>
  <c r="K8" i="37"/>
  <c r="V20" i="4"/>
  <c r="Q15" i="4"/>
  <c r="G15" i="48"/>
  <c r="I6" i="34"/>
  <c r="K13" i="47"/>
  <c r="G14" i="39"/>
  <c r="K16" i="35"/>
  <c r="G4" i="37"/>
  <c r="G5" i="37" s="1"/>
  <c r="C37" i="42"/>
  <c r="J14" i="36"/>
  <c r="K12" i="37"/>
  <c r="H4" i="34"/>
  <c r="F6" i="38"/>
  <c r="H38" i="34"/>
  <c r="Q20" i="4"/>
  <c r="H32" i="35"/>
  <c r="J10" i="40"/>
  <c r="L11" i="4"/>
  <c r="H14" i="41"/>
  <c r="H27" i="39"/>
  <c r="G14" i="42"/>
  <c r="M23" i="4"/>
  <c r="G11" i="46"/>
  <c r="Z20" i="4"/>
  <c r="F9" i="45"/>
  <c r="U18" i="4"/>
  <c r="Z25" i="4"/>
  <c r="W24" i="4"/>
  <c r="J9" i="39"/>
  <c r="J6" i="34"/>
  <c r="I13" i="41"/>
  <c r="F9" i="42"/>
  <c r="H6" i="41"/>
  <c r="H47" i="35"/>
  <c r="C31" i="41"/>
  <c r="H40" i="41"/>
  <c r="I14" i="39"/>
  <c r="V25" i="4"/>
  <c r="U17" i="4"/>
  <c r="G10" i="40"/>
  <c r="H10" i="36"/>
  <c r="H37" i="37"/>
  <c r="C48" i="34"/>
  <c r="C21" i="36"/>
  <c r="L6" i="35"/>
  <c r="F12" i="34"/>
  <c r="J10" i="37"/>
  <c r="C22" i="39"/>
  <c r="G8" i="38"/>
  <c r="I4" i="40"/>
  <c r="C27" i="41"/>
  <c r="H22" i="41"/>
  <c r="C53" i="34"/>
  <c r="C37" i="37"/>
  <c r="I9" i="46"/>
  <c r="J14" i="41"/>
  <c r="L6" i="34"/>
  <c r="K7" i="47"/>
  <c r="K11" i="46"/>
  <c r="H43" i="34"/>
  <c r="G15" i="34"/>
  <c r="AA19" i="4"/>
  <c r="C27" i="37"/>
  <c r="C42" i="37"/>
  <c r="H26" i="38"/>
  <c r="I8" i="35"/>
  <c r="P17" i="4"/>
  <c r="C39" i="34"/>
  <c r="H11" i="39"/>
  <c r="L14" i="4"/>
  <c r="R25" i="4"/>
  <c r="H11" i="34"/>
  <c r="H11" i="40"/>
  <c r="AA22" i="4"/>
  <c r="C37" i="36"/>
  <c r="K9" i="35"/>
  <c r="K6" i="37"/>
  <c r="W17" i="4"/>
  <c r="N12" i="4"/>
  <c r="AB25" i="4"/>
  <c r="U22" i="4"/>
  <c r="Y16" i="4"/>
  <c r="H23" i="34"/>
  <c r="H27" i="37"/>
  <c r="G11" i="41"/>
  <c r="G16" i="35"/>
  <c r="Q25" i="4"/>
  <c r="H7" i="41"/>
  <c r="G5" i="48"/>
  <c r="J11" i="40"/>
  <c r="G11" i="35"/>
  <c r="Q16" i="4"/>
  <c r="K10" i="38"/>
  <c r="G11" i="36"/>
  <c r="W25" i="4"/>
  <c r="M16" i="4"/>
  <c r="L12" i="4"/>
  <c r="S25" i="4"/>
  <c r="Y13" i="4"/>
  <c r="H5" i="34"/>
  <c r="K12" i="38"/>
  <c r="H26" i="36"/>
  <c r="I8" i="36"/>
  <c r="J7" i="34"/>
  <c r="J16" i="34"/>
  <c r="X18" i="4"/>
  <c r="U24" i="4"/>
  <c r="J4" i="35"/>
  <c r="H11" i="46"/>
  <c r="U14" i="4"/>
  <c r="V17" i="4"/>
  <c r="P20" i="4"/>
  <c r="W26" i="4"/>
  <c r="H42" i="34"/>
  <c r="H35" i="37"/>
  <c r="H29" i="42"/>
  <c r="K10" i="34"/>
  <c r="J4" i="40"/>
  <c r="F10" i="39"/>
  <c r="C37" i="39"/>
  <c r="R18" i="4"/>
  <c r="C32" i="36"/>
  <c r="AB22" i="4"/>
  <c r="H36" i="39"/>
  <c r="Z15" i="4"/>
  <c r="C54" i="34"/>
  <c r="H15" i="42"/>
  <c r="J10" i="43"/>
  <c r="J11" i="43" s="1"/>
  <c r="I8" i="40"/>
  <c r="I15" i="48"/>
  <c r="U15" i="4"/>
  <c r="H14" i="36"/>
  <c r="I8" i="39"/>
  <c r="K6" i="38"/>
  <c r="P26" i="4"/>
  <c r="C30" i="38"/>
  <c r="M11" i="4"/>
  <c r="M13" i="4"/>
  <c r="C20" i="36"/>
  <c r="K13" i="45"/>
  <c r="G15" i="40"/>
  <c r="H41" i="38"/>
  <c r="C40" i="43"/>
  <c r="I14" i="40"/>
  <c r="F8" i="39"/>
  <c r="F13" i="47"/>
  <c r="C47" i="34"/>
  <c r="I6" i="39"/>
  <c r="N21" i="4"/>
  <c r="H13" i="39"/>
  <c r="G9" i="43"/>
  <c r="F6" i="34"/>
  <c r="C39" i="35"/>
  <c r="V22" i="4"/>
  <c r="Q12" i="4"/>
  <c r="Z19" i="4"/>
  <c r="G5" i="43"/>
  <c r="S26" i="4"/>
  <c r="H35" i="43"/>
  <c r="C28" i="42"/>
  <c r="H13" i="41"/>
  <c r="R15" i="4"/>
  <c r="H13" i="46"/>
  <c r="H31" i="39"/>
  <c r="J9" i="47"/>
  <c r="G4" i="38"/>
  <c r="I13" i="40"/>
  <c r="I12" i="37"/>
  <c r="Y26" i="4"/>
  <c r="R16" i="4"/>
  <c r="AA26" i="4"/>
  <c r="C36" i="39"/>
  <c r="C27" i="34"/>
  <c r="G12" i="40"/>
  <c r="J5" i="43"/>
  <c r="H13" i="43"/>
  <c r="AB19" i="4"/>
  <c r="H14" i="38"/>
  <c r="G10" i="34"/>
  <c r="C42" i="41"/>
  <c r="I12" i="36"/>
  <c r="C26" i="37"/>
  <c r="F10" i="38"/>
  <c r="H36" i="36"/>
  <c r="Z13" i="4"/>
  <c r="J8" i="38"/>
  <c r="C29" i="34"/>
  <c r="V13" i="4"/>
  <c r="J6" i="38"/>
  <c r="K13" i="37"/>
  <c r="F9" i="48"/>
  <c r="K7" i="42"/>
  <c r="G12" i="38"/>
  <c r="G13" i="38" s="1"/>
  <c r="AB17" i="4"/>
  <c r="V16" i="4"/>
  <c r="L12" i="35"/>
  <c r="K10" i="36"/>
  <c r="H38" i="35"/>
  <c r="H16" i="35"/>
  <c r="C21" i="38"/>
  <c r="O11" i="4"/>
  <c r="O24" i="4"/>
  <c r="L7" i="35"/>
  <c r="C43" i="34"/>
  <c r="F7" i="47"/>
  <c r="K4" i="36"/>
  <c r="AA23" i="4"/>
  <c r="U16" i="4"/>
  <c r="F10" i="36"/>
  <c r="F11" i="36" s="1"/>
  <c r="J9" i="42"/>
  <c r="G8" i="34"/>
  <c r="H4" i="38"/>
  <c r="H17" i="35"/>
  <c r="H13" i="42"/>
  <c r="G11" i="48"/>
  <c r="J7" i="41"/>
  <c r="O12" i="4"/>
  <c r="H39" i="35"/>
  <c r="Q11" i="4"/>
  <c r="I7" i="47"/>
  <c r="AB13" i="4"/>
  <c r="J8" i="36"/>
  <c r="H11" i="37"/>
  <c r="I6" i="35"/>
  <c r="Y14" i="4"/>
  <c r="P19" i="4"/>
  <c r="P12" i="4"/>
  <c r="L17" i="4"/>
  <c r="C37" i="38"/>
  <c r="L20" i="4"/>
  <c r="Q24" i="4"/>
  <c r="G13" i="42"/>
  <c r="G11" i="34"/>
  <c r="J5" i="46"/>
  <c r="H11" i="45"/>
  <c r="H25" i="38"/>
  <c r="AB20" i="4"/>
  <c r="AB21" i="4"/>
  <c r="Z16" i="4"/>
  <c r="I9" i="39"/>
  <c r="Q14" i="4"/>
  <c r="L5" i="35"/>
  <c r="K11" i="38"/>
  <c r="K13" i="48"/>
  <c r="J7" i="46"/>
  <c r="C42" i="46"/>
  <c r="H10" i="42"/>
  <c r="G11" i="47"/>
  <c r="K4" i="34"/>
  <c r="C25" i="36"/>
  <c r="K12" i="40"/>
  <c r="Y12" i="4"/>
  <c r="H36" i="38"/>
  <c r="H27" i="36"/>
  <c r="Q17" i="4"/>
  <c r="P13" i="4"/>
  <c r="V11" i="4"/>
  <c r="I14" i="38"/>
  <c r="F10" i="40"/>
  <c r="H15" i="46"/>
  <c r="S19" i="4"/>
  <c r="H5" i="48"/>
  <c r="F15" i="42"/>
  <c r="H7" i="48"/>
  <c r="P24" i="4"/>
  <c r="C24" i="34"/>
  <c r="I4" i="39"/>
  <c r="H12" i="35"/>
  <c r="K6" i="36"/>
  <c r="C35" i="37"/>
  <c r="H14" i="35"/>
  <c r="H12" i="36"/>
  <c r="L10" i="35"/>
  <c r="H7" i="45"/>
  <c r="L6" i="42"/>
  <c r="I9" i="45"/>
  <c r="L4" i="34"/>
  <c r="C42" i="43"/>
  <c r="H21" i="41"/>
  <c r="F7" i="48"/>
  <c r="J7" i="47"/>
  <c r="H31" i="37"/>
  <c r="G11" i="42"/>
  <c r="Q22" i="4"/>
  <c r="J6" i="37"/>
  <c r="J14" i="35"/>
  <c r="G12" i="34"/>
  <c r="I15" i="34"/>
  <c r="H5" i="47"/>
  <c r="J14" i="39"/>
  <c r="I5" i="47"/>
  <c r="F9" i="47"/>
  <c r="H30" i="45"/>
  <c r="H53" i="42"/>
  <c r="H13" i="45"/>
  <c r="K8" i="34"/>
  <c r="AA20" i="4"/>
  <c r="H15" i="43"/>
  <c r="H24" i="35"/>
  <c r="V24" i="4"/>
  <c r="J14" i="37"/>
  <c r="G17" i="34"/>
  <c r="AA13" i="4"/>
  <c r="W12" i="4"/>
  <c r="C33" i="34"/>
  <c r="L14" i="34"/>
  <c r="Y18" i="4"/>
  <c r="K11" i="34"/>
  <c r="F15" i="45"/>
  <c r="I6" i="37"/>
  <c r="K13" i="36"/>
  <c r="AB26" i="4"/>
  <c r="S22" i="4"/>
  <c r="H37" i="35"/>
  <c r="J10" i="36"/>
  <c r="Q19" i="4"/>
  <c r="L18" i="4"/>
  <c r="C49" i="34"/>
  <c r="J7" i="39"/>
  <c r="R17" i="4"/>
  <c r="X24" i="4"/>
  <c r="Z18" i="4"/>
  <c r="H27" i="38"/>
  <c r="K11" i="47"/>
  <c r="I6" i="36"/>
  <c r="Q18" i="4"/>
  <c r="H21" i="38"/>
  <c r="H49" i="34"/>
  <c r="C42" i="34"/>
  <c r="I15" i="41"/>
  <c r="J7" i="37"/>
  <c r="F15" i="38"/>
  <c r="K11" i="43"/>
  <c r="K7" i="37"/>
  <c r="K9" i="48"/>
  <c r="M20" i="4"/>
  <c r="I8" i="34"/>
  <c r="U23" i="4"/>
  <c r="K9" i="37"/>
  <c r="F13" i="39"/>
  <c r="H13" i="47"/>
  <c r="J11" i="35"/>
  <c r="J15" i="41"/>
  <c r="H32" i="38"/>
  <c r="J6" i="35"/>
  <c r="H11" i="38"/>
  <c r="I12" i="34"/>
  <c r="W21" i="4"/>
  <c r="F14" i="34"/>
  <c r="F11" i="42"/>
  <c r="I15" i="40"/>
  <c r="K7" i="38"/>
  <c r="N17" i="4"/>
  <c r="G10" i="38"/>
  <c r="V15" i="4"/>
  <c r="H4" i="35"/>
  <c r="G9" i="40"/>
  <c r="O19" i="4"/>
  <c r="F13" i="34"/>
  <c r="I5" i="40"/>
  <c r="G9" i="38"/>
  <c r="C52" i="34"/>
  <c r="H6" i="34"/>
  <c r="J7" i="38"/>
  <c r="G9" i="45"/>
  <c r="H17" i="42"/>
  <c r="H5" i="40"/>
  <c r="K13" i="40"/>
  <c r="K11" i="40"/>
  <c r="I15" i="45"/>
  <c r="G15" i="47"/>
  <c r="J15" i="36"/>
  <c r="F11" i="39"/>
  <c r="K9" i="38"/>
  <c r="J11" i="36"/>
  <c r="J9" i="48"/>
  <c r="O21" i="4"/>
  <c r="L25" i="4"/>
  <c r="X12" i="4"/>
  <c r="N11" i="4"/>
  <c r="H35" i="40"/>
  <c r="F11" i="41"/>
  <c r="G13" i="47"/>
  <c r="K5" i="40"/>
  <c r="I6" i="42"/>
  <c r="H36" i="37"/>
  <c r="G15" i="43"/>
  <c r="L4" i="42"/>
  <c r="J15" i="47"/>
  <c r="C36" i="37"/>
  <c r="U21" i="4"/>
  <c r="N22" i="4"/>
  <c r="S13" i="4"/>
  <c r="H28" i="35"/>
  <c r="H4" i="37"/>
  <c r="K7" i="45"/>
  <c r="G8" i="41"/>
  <c r="I13" i="46"/>
  <c r="J10" i="47"/>
  <c r="H25" i="40"/>
  <c r="H4" i="39"/>
  <c r="L8" i="34"/>
  <c r="F15" i="41"/>
  <c r="L8" i="42"/>
  <c r="G12" i="35"/>
  <c r="G13" i="41"/>
  <c r="H16" i="34"/>
  <c r="K6" i="34"/>
  <c r="R14" i="4"/>
  <c r="AA25" i="4"/>
  <c r="O23" i="4"/>
  <c r="F6" i="41"/>
  <c r="H14" i="34"/>
  <c r="K10" i="42"/>
  <c r="C32" i="39"/>
  <c r="K4" i="42"/>
  <c r="Y15" i="4"/>
  <c r="X14" i="4"/>
  <c r="H23" i="35"/>
  <c r="H27" i="41"/>
  <c r="F12" i="37"/>
  <c r="Q21" i="4"/>
  <c r="Y23" i="4"/>
  <c r="C22" i="36"/>
  <c r="C35" i="36"/>
  <c r="F10" i="34"/>
  <c r="K9" i="41"/>
  <c r="F11" i="40"/>
  <c r="L14" i="35"/>
  <c r="H6" i="35"/>
  <c r="P11" i="4"/>
  <c r="M18" i="4"/>
  <c r="C28" i="35"/>
  <c r="G8" i="37"/>
  <c r="L23" i="4"/>
  <c r="K17" i="35"/>
  <c r="O20" i="4"/>
  <c r="C24" i="35"/>
  <c r="H15" i="35"/>
  <c r="G13" i="37"/>
  <c r="C38" i="35"/>
  <c r="C23" i="34"/>
  <c r="R19" i="4"/>
  <c r="Z17" i="4"/>
  <c r="V26" i="4"/>
  <c r="W13" i="4"/>
  <c r="AA12" i="4"/>
  <c r="W22" i="4"/>
  <c r="G5" i="35"/>
  <c r="H15" i="41"/>
  <c r="H40" i="38"/>
  <c r="I4" i="34"/>
  <c r="Y19" i="4"/>
  <c r="J15" i="37"/>
  <c r="F11" i="48"/>
  <c r="H5" i="38"/>
  <c r="H7" i="47"/>
  <c r="R26" i="4"/>
  <c r="F8" i="37"/>
  <c r="V18" i="4"/>
  <c r="H14" i="37"/>
  <c r="H13" i="36"/>
  <c r="G8" i="36"/>
  <c r="J5" i="47"/>
  <c r="N13" i="4"/>
  <c r="I4" i="38"/>
  <c r="J6" i="36"/>
  <c r="W11" i="4"/>
  <c r="S16" i="4"/>
  <c r="H32" i="37"/>
  <c r="H41" i="37"/>
  <c r="H13" i="34"/>
  <c r="H27" i="35"/>
  <c r="I16" i="34"/>
  <c r="G5" i="41"/>
  <c r="L13" i="4"/>
  <c r="Y17" i="4"/>
  <c r="P16" i="4"/>
  <c r="G9" i="41"/>
  <c r="H20" i="37"/>
  <c r="P23" i="4"/>
  <c r="C35" i="38"/>
  <c r="N15" i="4"/>
  <c r="I14" i="35"/>
  <c r="P15" i="4"/>
  <c r="K12" i="35"/>
  <c r="G11" i="40"/>
  <c r="G5" i="36"/>
  <c r="G9" i="48"/>
  <c r="K13" i="46"/>
  <c r="F15" i="35"/>
  <c r="I13" i="34"/>
  <c r="G15" i="42"/>
  <c r="K5" i="37"/>
  <c r="I7" i="39"/>
  <c r="G9" i="36"/>
  <c r="H5" i="41"/>
  <c r="J7" i="35"/>
  <c r="K11" i="41"/>
  <c r="G5" i="39"/>
  <c r="K11" i="48"/>
  <c r="J9" i="35"/>
  <c r="I7" i="36"/>
  <c r="I9" i="48"/>
  <c r="L7" i="34"/>
  <c r="I9" i="36"/>
  <c r="I7" i="46"/>
  <c r="K4" i="39"/>
  <c r="C41" i="40"/>
  <c r="I13" i="42"/>
  <c r="K10" i="35"/>
  <c r="C44" i="34"/>
  <c r="H15" i="45"/>
  <c r="J10" i="41"/>
  <c r="J15" i="43"/>
  <c r="H42" i="35"/>
  <c r="G15" i="39"/>
  <c r="J10" i="38"/>
  <c r="J11" i="38" s="1"/>
  <c r="H7" i="38"/>
  <c r="M21" i="4"/>
  <c r="J9" i="46"/>
  <c r="F6" i="42"/>
  <c r="Z21" i="4"/>
  <c r="J7" i="43"/>
  <c r="H22" i="42"/>
  <c r="C20" i="41"/>
  <c r="K9" i="45"/>
  <c r="F8" i="34"/>
  <c r="K9" i="39"/>
  <c r="L7" i="42"/>
  <c r="I9" i="47"/>
  <c r="G13" i="46"/>
  <c r="Z14" i="4"/>
  <c r="C27" i="36"/>
  <c r="Y11" i="4"/>
  <c r="J11" i="46"/>
  <c r="C37" i="40"/>
  <c r="H20" i="36"/>
  <c r="J8" i="41"/>
  <c r="H14" i="40"/>
  <c r="H15" i="40" s="1"/>
  <c r="H13" i="48"/>
  <c r="U13" i="4"/>
  <c r="F6" i="37"/>
  <c r="F7" i="37" s="1"/>
  <c r="I8" i="41"/>
  <c r="H48" i="34"/>
  <c r="F8" i="38"/>
  <c r="F9" i="38" s="1"/>
  <c r="C42" i="35"/>
  <c r="C26" i="36"/>
  <c r="W16" i="4"/>
  <c r="K9" i="34"/>
  <c r="H10" i="35"/>
  <c r="H11" i="35" s="1"/>
  <c r="I4" i="35"/>
  <c r="K4" i="38"/>
  <c r="AA11" i="4"/>
  <c r="H6" i="37"/>
  <c r="H33" i="35"/>
  <c r="W18" i="4"/>
  <c r="L21" i="4"/>
  <c r="C36" i="36"/>
  <c r="AB18" i="4"/>
  <c r="J14" i="38"/>
  <c r="Y20" i="4"/>
  <c r="O18" i="4"/>
  <c r="I8" i="37"/>
  <c r="I9" i="37" s="1"/>
  <c r="Z12" i="4"/>
  <c r="I15" i="39"/>
  <c r="J15" i="46"/>
  <c r="I14" i="36"/>
  <c r="I15" i="36" s="1"/>
  <c r="U12" i="4"/>
  <c r="M22" i="4"/>
  <c r="J9" i="38"/>
  <c r="J11" i="41"/>
  <c r="U11" i="4"/>
  <c r="AB23" i="4"/>
  <c r="H39" i="34"/>
  <c r="G11" i="39"/>
  <c r="V14" i="4"/>
  <c r="S20" i="4"/>
  <c r="J8" i="34"/>
  <c r="J4" i="34"/>
  <c r="L11" i="34"/>
  <c r="I5" i="45"/>
  <c r="J9" i="40"/>
  <c r="K5" i="39"/>
  <c r="N23" i="4"/>
  <c r="I13" i="36"/>
  <c r="J16" i="35"/>
  <c r="S17" i="4"/>
  <c r="J5" i="41"/>
  <c r="F16" i="35"/>
  <c r="O26" i="4"/>
  <c r="K7" i="40"/>
  <c r="C32" i="34"/>
  <c r="X17" i="4"/>
  <c r="H22" i="37"/>
  <c r="P22" i="4"/>
  <c r="H15" i="38"/>
  <c r="U25" i="4"/>
  <c r="J4" i="36"/>
  <c r="H54" i="34"/>
  <c r="I4" i="36"/>
  <c r="I9" i="35"/>
  <c r="O16" i="4"/>
  <c r="R24" i="4"/>
  <c r="H35" i="38"/>
  <c r="F7" i="38"/>
  <c r="H40" i="37"/>
  <c r="X22" i="4"/>
  <c r="H4" i="36"/>
  <c r="C23" i="35"/>
  <c r="C41" i="38"/>
  <c r="G13" i="34"/>
  <c r="K13" i="34"/>
  <c r="H11" i="48"/>
  <c r="F15" i="39"/>
  <c r="K5" i="36"/>
  <c r="I13" i="38"/>
  <c r="H5" i="35"/>
  <c r="I7" i="45"/>
  <c r="I15" i="37"/>
  <c r="G11" i="38"/>
  <c r="F7" i="46"/>
  <c r="J11" i="39"/>
  <c r="F13" i="45"/>
  <c r="N16" i="4"/>
  <c r="C21" i="37"/>
  <c r="V21" i="4"/>
  <c r="C41" i="36"/>
  <c r="C41" i="39"/>
  <c r="C52" i="35"/>
  <c r="H44" i="42"/>
  <c r="I6" i="41"/>
  <c r="J10" i="42"/>
  <c r="Q23" i="4"/>
  <c r="F7" i="40"/>
  <c r="K10" i="37"/>
  <c r="J14" i="40"/>
  <c r="I13" i="39"/>
  <c r="H7" i="39"/>
  <c r="I13" i="48"/>
  <c r="U26" i="4"/>
  <c r="L16" i="4"/>
  <c r="Z23" i="4"/>
  <c r="Q26" i="4"/>
  <c r="I5" i="43"/>
  <c r="H49" i="35"/>
  <c r="J4" i="42"/>
  <c r="C47" i="42"/>
  <c r="H26" i="40"/>
  <c r="I9" i="40"/>
  <c r="G14" i="37"/>
  <c r="W20" i="4"/>
  <c r="C25" i="39"/>
  <c r="H37" i="34"/>
  <c r="I12" i="35"/>
  <c r="H42" i="38"/>
  <c r="AB16" i="4"/>
  <c r="C32" i="37"/>
  <c r="H52" i="35"/>
  <c r="F10" i="35"/>
  <c r="H22" i="39"/>
  <c r="K5" i="48"/>
  <c r="I8" i="43"/>
  <c r="H6" i="40"/>
  <c r="C40" i="39"/>
  <c r="C29" i="35"/>
  <c r="G15" i="45"/>
  <c r="H54" i="35"/>
  <c r="F11" i="43"/>
  <c r="H12" i="37"/>
  <c r="G9" i="46"/>
  <c r="G5" i="42"/>
  <c r="H22" i="34"/>
  <c r="H21" i="37"/>
  <c r="C34" i="35"/>
  <c r="H24" i="34"/>
  <c r="Z24" i="4"/>
  <c r="F11" i="38"/>
  <c r="R21" i="4"/>
  <c r="K7" i="36"/>
  <c r="X15" i="4"/>
  <c r="C20" i="37"/>
  <c r="G5" i="38"/>
  <c r="K11" i="35"/>
  <c r="H13" i="35"/>
  <c r="H30" i="36"/>
  <c r="G15" i="38"/>
  <c r="H5" i="42"/>
  <c r="R13" i="4"/>
  <c r="F11" i="37"/>
  <c r="F12" i="36"/>
  <c r="AB15" i="4"/>
  <c r="G14" i="36"/>
  <c r="X21" i="4"/>
  <c r="K5" i="35"/>
  <c r="H12" i="38"/>
  <c r="H13" i="38" s="1"/>
  <c r="J17" i="42"/>
  <c r="O13" i="4"/>
  <c r="G4" i="34"/>
  <c r="Y21" i="4"/>
  <c r="G5" i="34"/>
  <c r="AA18" i="4"/>
  <c r="F13" i="41"/>
  <c r="C22" i="37"/>
  <c r="J14" i="34"/>
  <c r="I17" i="35"/>
  <c r="J9" i="37"/>
  <c r="L15" i="34"/>
  <c r="J15" i="35"/>
  <c r="S14" i="4"/>
  <c r="I9" i="42"/>
  <c r="H37" i="36"/>
  <c r="V23" i="4"/>
  <c r="L24" i="4"/>
  <c r="W23" i="4"/>
  <c r="H25" i="36"/>
  <c r="AA16" i="4"/>
  <c r="I13" i="37"/>
  <c r="C26" i="38"/>
  <c r="G13" i="35"/>
  <c r="AA14" i="4"/>
  <c r="G13" i="36"/>
  <c r="P21" i="4"/>
  <c r="J4" i="37"/>
  <c r="J5" i="37" s="1"/>
  <c r="C40" i="38"/>
  <c r="K5" i="38"/>
  <c r="M19" i="4"/>
  <c r="G15" i="37"/>
  <c r="K13" i="43"/>
  <c r="N26" i="4"/>
  <c r="L8" i="35"/>
  <c r="AB24" i="4"/>
  <c r="K6" i="35"/>
  <c r="Z26" i="4"/>
  <c r="F9" i="36"/>
  <c r="C40" i="37"/>
  <c r="H7" i="36"/>
  <c r="G9" i="37"/>
  <c r="H15" i="37"/>
  <c r="J17" i="35"/>
  <c r="I5" i="36"/>
  <c r="L13" i="35"/>
  <c r="K13" i="35"/>
  <c r="F15" i="46"/>
  <c r="J15" i="34"/>
  <c r="G9" i="35"/>
  <c r="I17" i="34"/>
  <c r="J5" i="38"/>
  <c r="H5" i="36"/>
  <c r="K7" i="35"/>
  <c r="J5" i="34"/>
  <c r="J9" i="41"/>
  <c r="G13" i="40"/>
  <c r="G9" i="34"/>
  <c r="J17" i="34"/>
  <c r="H7" i="34"/>
  <c r="F9" i="39"/>
  <c r="G17" i="35"/>
  <c r="J5" i="36"/>
  <c r="J7" i="45"/>
  <c r="F13" i="43"/>
  <c r="I9" i="41"/>
  <c r="I15" i="35"/>
  <c r="H5" i="39"/>
  <c r="I9" i="34"/>
  <c r="F13" i="35"/>
  <c r="J11" i="37"/>
  <c r="K5" i="45"/>
  <c r="I7" i="35"/>
  <c r="I5" i="38"/>
  <c r="F7" i="42"/>
  <c r="K5" i="42"/>
  <c r="F9" i="35"/>
  <c r="H11" i="36"/>
  <c r="K5" i="47"/>
  <c r="G13" i="48"/>
  <c r="F9" i="37"/>
  <c r="K13" i="39"/>
  <c r="J11" i="47"/>
  <c r="J9" i="36"/>
  <c r="I15" i="46"/>
  <c r="J5" i="35"/>
  <c r="K5" i="41"/>
  <c r="K11" i="42"/>
  <c r="G5" i="47"/>
  <c r="F13" i="38"/>
  <c r="K17" i="34"/>
  <c r="F7" i="45"/>
  <c r="K13" i="38"/>
  <c r="L9" i="35"/>
  <c r="F13" i="36"/>
  <c r="F11" i="35"/>
  <c r="L9" i="42"/>
  <c r="I7" i="42"/>
  <c r="F17" i="35"/>
  <c r="J15" i="38"/>
  <c r="J15" i="39"/>
  <c r="I5" i="39"/>
  <c r="K5" i="34"/>
  <c r="F7" i="39"/>
  <c r="F9" i="40"/>
  <c r="L15" i="35"/>
  <c r="H15" i="34"/>
  <c r="I13" i="35"/>
  <c r="H5" i="37"/>
  <c r="J11" i="42"/>
  <c r="I7" i="37"/>
  <c r="L5" i="34"/>
  <c r="I7" i="34"/>
  <c r="L15" i="42"/>
  <c r="G15" i="46"/>
  <c r="G11" i="43"/>
  <c r="G15" i="36"/>
  <c r="I9" i="43"/>
  <c r="H17" i="34"/>
  <c r="K11" i="37"/>
  <c r="I7" i="41"/>
  <c r="J9" i="34"/>
  <c r="H7" i="37"/>
  <c r="F9" i="34"/>
  <c r="I15" i="38"/>
  <c r="K9" i="36"/>
  <c r="G5" i="45"/>
  <c r="H5" i="45"/>
  <c r="H13" i="37"/>
  <c r="K7" i="34"/>
  <c r="L9" i="34"/>
  <c r="J15" i="40"/>
  <c r="F15" i="34"/>
  <c r="I5" i="35"/>
  <c r="L11" i="35"/>
  <c r="H11" i="42"/>
  <c r="J5" i="40"/>
  <c r="H15" i="47"/>
  <c r="I7" i="48"/>
  <c r="N15" i="34" l="1"/>
  <c r="M14" i="34"/>
  <c r="L4" i="45"/>
  <c r="M5" i="45"/>
  <c r="N9" i="34"/>
  <c r="M8" i="34"/>
  <c r="M9" i="40"/>
  <c r="L8" i="40"/>
  <c r="M7" i="39"/>
  <c r="L6" i="39"/>
  <c r="M16" i="35"/>
  <c r="N17" i="35"/>
  <c r="M10" i="35"/>
  <c r="N11" i="35"/>
  <c r="L12" i="36"/>
  <c r="M13" i="36"/>
  <c r="M7" i="45"/>
  <c r="L6" i="45"/>
  <c r="M13" i="38"/>
  <c r="L12" i="38"/>
  <c r="M5" i="47"/>
  <c r="L4" i="47"/>
  <c r="L8" i="37"/>
  <c r="M9" i="37"/>
  <c r="M8" i="35"/>
  <c r="N9" i="35"/>
  <c r="M12" i="35"/>
  <c r="N13" i="35"/>
  <c r="M13" i="43"/>
  <c r="L12" i="43"/>
  <c r="M9" i="39"/>
  <c r="L8" i="39"/>
  <c r="L14" i="46"/>
  <c r="M15" i="46"/>
  <c r="M9" i="36"/>
  <c r="L8" i="36"/>
  <c r="N43" i="4"/>
  <c r="M36" i="4"/>
  <c r="P38" i="4"/>
  <c r="L41" i="4"/>
  <c r="S31" i="4"/>
  <c r="M13" i="41"/>
  <c r="L12" i="41"/>
  <c r="O30" i="4"/>
  <c r="M11" i="37"/>
  <c r="L10" i="37"/>
  <c r="R30" i="4"/>
  <c r="M5" i="38"/>
  <c r="L4" i="38"/>
  <c r="R38" i="4"/>
  <c r="M11" i="38"/>
  <c r="L10" i="38"/>
  <c r="L10" i="43"/>
  <c r="M11" i="43"/>
  <c r="Q43" i="4"/>
  <c r="L33" i="4"/>
  <c r="Q40" i="4"/>
  <c r="N33" i="4"/>
  <c r="L12" i="45"/>
  <c r="M13" i="45"/>
  <c r="L14" i="39"/>
  <c r="M15" i="39"/>
  <c r="M7" i="38"/>
  <c r="L6" i="38"/>
  <c r="R41" i="4"/>
  <c r="O33" i="4"/>
  <c r="P39" i="4"/>
  <c r="O43" i="4"/>
  <c r="S34" i="4"/>
  <c r="N40" i="4"/>
  <c r="S37" i="4"/>
  <c r="M39" i="4"/>
  <c r="O35" i="4"/>
  <c r="L38" i="4"/>
  <c r="L6" i="37"/>
  <c r="M7" i="37"/>
  <c r="M38" i="4"/>
  <c r="L4" i="39"/>
  <c r="M5" i="39"/>
  <c r="M14" i="35"/>
  <c r="N15" i="35"/>
  <c r="M5" i="36"/>
  <c r="L4" i="36"/>
  <c r="P32" i="4"/>
  <c r="N32" i="4"/>
  <c r="P40" i="4"/>
  <c r="P33" i="4"/>
  <c r="L30" i="4"/>
  <c r="M5" i="41"/>
  <c r="L4" i="41"/>
  <c r="S33" i="4"/>
  <c r="N30" i="4"/>
  <c r="R43" i="4"/>
  <c r="L10" i="48"/>
  <c r="M11" i="48"/>
  <c r="M4" i="35"/>
  <c r="N5" i="35"/>
  <c r="R36" i="4"/>
  <c r="O37" i="4"/>
  <c r="L40" i="4"/>
  <c r="M35" i="4"/>
  <c r="P28" i="4"/>
  <c r="M11" i="40"/>
  <c r="L10" i="40"/>
  <c r="Q38" i="4"/>
  <c r="O40" i="4"/>
  <c r="R31" i="4"/>
  <c r="S30" i="4"/>
  <c r="N39" i="4"/>
  <c r="L10" i="41"/>
  <c r="M11" i="41"/>
  <c r="N28" i="4"/>
  <c r="L42" i="4"/>
  <c r="O38" i="4"/>
  <c r="L10" i="39"/>
  <c r="M11" i="39"/>
  <c r="N13" i="34"/>
  <c r="M12" i="34"/>
  <c r="O36" i="4"/>
  <c r="N34" i="4"/>
  <c r="M10" i="42"/>
  <c r="N11" i="42"/>
  <c r="M13" i="39"/>
  <c r="L12" i="39"/>
  <c r="M37" i="4"/>
  <c r="L14" i="38"/>
  <c r="M15" i="38"/>
  <c r="Q35" i="4"/>
  <c r="R34" i="4"/>
  <c r="L35" i="4"/>
  <c r="Q36" i="4"/>
  <c r="S39" i="4"/>
  <c r="L14" i="45"/>
  <c r="M15" i="45"/>
  <c r="L8" i="47"/>
  <c r="M9" i="47"/>
  <c r="Q39" i="4"/>
  <c r="L6" i="48"/>
  <c r="M7" i="48"/>
  <c r="P41" i="4"/>
  <c r="N15" i="42"/>
  <c r="M14" i="42"/>
  <c r="S36" i="4"/>
  <c r="P30" i="4"/>
  <c r="Q34" i="4"/>
  <c r="Q31" i="4"/>
  <c r="Q41" i="4"/>
  <c r="L37" i="4"/>
  <c r="L34" i="4"/>
  <c r="P29" i="4"/>
  <c r="P36" i="4"/>
  <c r="Q28" i="4"/>
  <c r="O29" i="4"/>
  <c r="L6" i="47"/>
  <c r="M7" i="47"/>
  <c r="O41" i="4"/>
  <c r="O28" i="4"/>
  <c r="M9" i="48"/>
  <c r="L8" i="48"/>
  <c r="R33" i="4"/>
  <c r="R32" i="4"/>
  <c r="S43" i="4"/>
  <c r="M5" i="43"/>
  <c r="L4" i="43"/>
  <c r="Q29" i="4"/>
  <c r="N38" i="4"/>
  <c r="L12" i="47"/>
  <c r="M13" i="47"/>
  <c r="M30" i="4"/>
  <c r="M28" i="4"/>
  <c r="P43" i="4"/>
  <c r="R35" i="4"/>
  <c r="P37" i="4"/>
  <c r="S42" i="4"/>
  <c r="L29" i="4"/>
  <c r="M33" i="4"/>
  <c r="Q33" i="4"/>
  <c r="L4" i="48"/>
  <c r="M5" i="48"/>
  <c r="Q42" i="4"/>
  <c r="N29" i="4"/>
  <c r="R42" i="4"/>
  <c r="L31" i="4"/>
  <c r="P34" i="4"/>
  <c r="N9" i="42"/>
  <c r="M8" i="42"/>
  <c r="M9" i="45"/>
  <c r="L8" i="45"/>
  <c r="M40" i="4"/>
  <c r="L28" i="4"/>
  <c r="Q37" i="4"/>
  <c r="Q32" i="4"/>
  <c r="L10" i="47"/>
  <c r="M11" i="47"/>
  <c r="P42" i="4"/>
  <c r="S32" i="4"/>
  <c r="L43" i="4"/>
  <c r="O39" i="4"/>
  <c r="P31" i="4"/>
  <c r="O42" i="4"/>
  <c r="M5" i="40"/>
  <c r="L4" i="40"/>
  <c r="L32" i="4"/>
  <c r="O31" i="4"/>
  <c r="L8" i="41"/>
  <c r="M9" i="41"/>
  <c r="N41" i="4"/>
  <c r="M16" i="34"/>
  <c r="N17" i="34"/>
  <c r="R40" i="4"/>
  <c r="M13" i="46"/>
  <c r="L12" i="46"/>
  <c r="O32" i="4"/>
  <c r="Q30" i="4"/>
  <c r="N36" i="4"/>
  <c r="L36" i="4"/>
  <c r="R29" i="4"/>
  <c r="M15" i="48"/>
  <c r="L14" i="48"/>
  <c r="L12" i="40"/>
  <c r="M13" i="40"/>
  <c r="L14" i="37"/>
  <c r="M15" i="37"/>
  <c r="R37" i="4"/>
  <c r="M42" i="4"/>
  <c r="S35" i="4"/>
  <c r="R39" i="4"/>
  <c r="L39" i="4"/>
  <c r="M29" i="4"/>
  <c r="R28" i="4"/>
  <c r="M43" i="4"/>
  <c r="M41" i="4"/>
  <c r="S38" i="4"/>
  <c r="M31" i="4"/>
  <c r="M32" i="4"/>
  <c r="S28" i="4"/>
  <c r="S41" i="4"/>
  <c r="N37" i="4"/>
  <c r="N13" i="42"/>
  <c r="M12" i="42"/>
  <c r="L8" i="46"/>
  <c r="M9" i="46"/>
  <c r="O34" i="4"/>
  <c r="N35" i="4"/>
  <c r="L8" i="43"/>
  <c r="M9" i="43"/>
  <c r="M34" i="4"/>
  <c r="L14" i="40"/>
  <c r="M15" i="40"/>
  <c r="S40" i="4"/>
  <c r="N42" i="4"/>
  <c r="L14" i="47"/>
  <c r="M15" i="47"/>
  <c r="S29" i="4"/>
  <c r="M11" i="45"/>
  <c r="L10" i="45"/>
  <c r="P35" i="4"/>
  <c r="M7" i="43"/>
  <c r="L6" i="43"/>
  <c r="N31" i="4"/>
  <c r="H7" i="40"/>
  <c r="I5" i="34"/>
  <c r="H7" i="35"/>
  <c r="F7" i="41"/>
  <c r="K11" i="36"/>
  <c r="H15" i="36"/>
  <c r="I5" i="37"/>
  <c r="H7" i="42"/>
  <c r="F17" i="42"/>
  <c r="G15" i="41"/>
  <c r="K7" i="46"/>
  <c r="J5" i="42"/>
  <c r="J7" i="36"/>
  <c r="F11" i="34"/>
  <c r="F13" i="37"/>
  <c r="L5" i="42"/>
  <c r="F7" i="34"/>
  <c r="I9" i="38"/>
  <c r="I15" i="43"/>
  <c r="F13" i="48"/>
  <c r="F11" i="46"/>
  <c r="H5" i="46"/>
  <c r="L4" i="46" l="1"/>
  <c r="M5" i="46"/>
  <c r="L10" i="46"/>
  <c r="M11" i="46"/>
  <c r="L12" i="48"/>
  <c r="M13" i="48"/>
  <c r="L14" i="43"/>
  <c r="M15" i="43"/>
  <c r="M9" i="38"/>
  <c r="L8" i="38"/>
  <c r="N7" i="34"/>
  <c r="M6" i="34"/>
  <c r="M13" i="37"/>
  <c r="L12" i="37"/>
  <c r="N11" i="34"/>
  <c r="M10" i="34"/>
  <c r="L6" i="36"/>
  <c r="M7" i="36"/>
  <c r="N5" i="42"/>
  <c r="M4" i="42"/>
  <c r="M7" i="46"/>
  <c r="L6" i="46"/>
  <c r="M15" i="41"/>
  <c r="L14" i="41"/>
  <c r="M16" i="42"/>
  <c r="N17" i="42"/>
  <c r="M6" i="42"/>
  <c r="N7" i="42"/>
  <c r="L4" i="37"/>
  <c r="M5" i="37"/>
  <c r="L14" i="36"/>
  <c r="M15" i="36"/>
  <c r="M11" i="36"/>
  <c r="L10" i="36"/>
  <c r="M7" i="41"/>
  <c r="L6" i="41"/>
  <c r="N7" i="35"/>
  <c r="M6" i="35"/>
  <c r="M4" i="34"/>
  <c r="N5" i="34"/>
  <c r="L6" i="40"/>
  <c r="M7" i="40"/>
</calcChain>
</file>

<file path=xl/sharedStrings.xml><?xml version="1.0" encoding="utf-8"?>
<sst xmlns="http://schemas.openxmlformats.org/spreadsheetml/2006/main" count="845" uniqueCount="185">
  <si>
    <t>Команда</t>
  </si>
  <si>
    <t>победы</t>
  </si>
  <si>
    <t>место</t>
  </si>
  <si>
    <t>доп</t>
  </si>
  <si>
    <t>Тур 1</t>
  </si>
  <si>
    <t>Тур 2</t>
  </si>
  <si>
    <t>Тур 3</t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</si>
  <si>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</si>
  <si>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</si>
  <si>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</si>
  <si>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</si>
  <si>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</si>
  <si>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</si>
  <si>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Гедройц-Юраго Алексей</t>
  </si>
  <si>
    <t>Пелевин Андрей</t>
  </si>
  <si>
    <t>Иванов Юрий</t>
  </si>
  <si>
    <t>Николаев Александр</t>
  </si>
  <si>
    <t>Горбунов Алексей</t>
  </si>
  <si>
    <t>Гаркавый Вадим</t>
  </si>
  <si>
    <t>Попов Виктор</t>
  </si>
  <si>
    <t>Приозерск. Группа ПоМ1</t>
  </si>
  <si>
    <t>Мужчины</t>
  </si>
  <si>
    <t>Анненков Дмитрий</t>
  </si>
  <si>
    <t>Большаков Василий</t>
  </si>
  <si>
    <t>Зинкеев Георгий*</t>
  </si>
  <si>
    <t>Пономаренко Юрий</t>
  </si>
  <si>
    <t>Новиков Андрей</t>
  </si>
  <si>
    <t>Елсаков Сергей</t>
  </si>
  <si>
    <t>Зимин Михаил</t>
  </si>
  <si>
    <t>Приозерск. Группа ПоМ2</t>
  </si>
  <si>
    <t/>
  </si>
  <si>
    <t>Томск. Группа ТМ1</t>
  </si>
  <si>
    <t>Бобков Василий</t>
  </si>
  <si>
    <t>Коваль Василий</t>
  </si>
  <si>
    <t>Петренко Евгений</t>
  </si>
  <si>
    <t>Пономарев Денис</t>
  </si>
  <si>
    <t>Хмылев Юрий</t>
  </si>
  <si>
    <t>Шилов Александр</t>
  </si>
  <si>
    <t>Мишин</t>
  </si>
  <si>
    <t>Северов</t>
  </si>
  <si>
    <t>Смирнов</t>
  </si>
  <si>
    <t>Худяков</t>
  </si>
  <si>
    <t>Савельев</t>
  </si>
  <si>
    <t>Панфиленко</t>
  </si>
  <si>
    <t>Питер. Группа ПМ1</t>
  </si>
  <si>
    <t>Лямунов</t>
  </si>
  <si>
    <t>Анухин</t>
  </si>
  <si>
    <t>Кувакин</t>
  </si>
  <si>
    <t>Таратин</t>
  </si>
  <si>
    <t xml:space="preserve"> </t>
  </si>
  <si>
    <t>Балахтин</t>
  </si>
  <si>
    <t>Домбровский</t>
  </si>
  <si>
    <t>Питер. Группа ПМ2</t>
  </si>
  <si>
    <t>Игроки</t>
  </si>
  <si>
    <t>Андреев Юрий</t>
  </si>
  <si>
    <t>Глинкин Андрей</t>
  </si>
  <si>
    <t>Шашин Сергей</t>
  </si>
  <si>
    <t>Гольдт Егор</t>
  </si>
  <si>
    <t>Ятченко Дмитрий</t>
  </si>
  <si>
    <t>Багазеев Иван</t>
  </si>
  <si>
    <t>Федотов</t>
  </si>
  <si>
    <t>Гришин</t>
  </si>
  <si>
    <t>Африканов</t>
  </si>
  <si>
    <t>Сафонов</t>
  </si>
  <si>
    <t>Мишарин</t>
  </si>
  <si>
    <t>Манукян</t>
  </si>
  <si>
    <t>Анапа. Группа АМ1</t>
  </si>
  <si>
    <t>Лукин Сергей</t>
  </si>
  <si>
    <t>Чугунов Андрей</t>
  </si>
  <si>
    <t>Коржов Владимир</t>
  </si>
  <si>
    <t>Грейцер Роман</t>
  </si>
  <si>
    <t>Изместьев Алексей</t>
  </si>
  <si>
    <t xml:space="preserve">Дмитриев Геннадий </t>
  </si>
  <si>
    <t>Москва. Группа ММ1</t>
  </si>
  <si>
    <t>мужчины</t>
  </si>
  <si>
    <t>Вахрушев Владимир</t>
  </si>
  <si>
    <t>Гаджиев Сеявуш</t>
  </si>
  <si>
    <t>Гулинин Евгений</t>
  </si>
  <si>
    <t>Новиков Петр</t>
  </si>
  <si>
    <t>Земцов Сергей</t>
  </si>
  <si>
    <t>Радченко Григорий</t>
  </si>
  <si>
    <t>Шапкин Константин</t>
  </si>
  <si>
    <t>Лист ожидания Москва</t>
  </si>
  <si>
    <t>Место</t>
  </si>
  <si>
    <t>Игрок</t>
  </si>
  <si>
    <t>процент побед</t>
  </si>
  <si>
    <t>поб над ф</t>
  </si>
  <si>
    <t>ср разн</t>
  </si>
  <si>
    <t>ср очки</t>
  </si>
  <si>
    <t>группа</t>
  </si>
  <si>
    <t>Рейтинг</t>
  </si>
  <si>
    <t>ММ1</t>
  </si>
  <si>
    <t>Шихарбеев Борис</t>
  </si>
  <si>
    <t>Гришков Сергей</t>
  </si>
  <si>
    <t>Стрельчук Артем</t>
  </si>
  <si>
    <t>Догадин Евгений</t>
  </si>
  <si>
    <t>Смирнов Сергей</t>
  </si>
  <si>
    <t>Стрельчук Дмитрий</t>
  </si>
  <si>
    <t>Десногорск. Группа ДМ1</t>
  </si>
  <si>
    <t>Москва. Группа ММ2</t>
  </si>
  <si>
    <t>Москва. Группа ММ3</t>
  </si>
  <si>
    <t>Москва. Группа ММ4</t>
  </si>
  <si>
    <t>Москва. Группа ММ5</t>
  </si>
  <si>
    <t>Петрушко Алексей</t>
  </si>
  <si>
    <t>Дубовицкий Игорь</t>
  </si>
  <si>
    <t>Глуховский Аркадий</t>
  </si>
  <si>
    <t>Ницинский Станислав</t>
  </si>
  <si>
    <t>Волков Денис</t>
  </si>
  <si>
    <t>Тюнин Иван</t>
  </si>
  <si>
    <t>утро</t>
  </si>
  <si>
    <t>вечер</t>
  </si>
  <si>
    <t>Каргашин Илья</t>
  </si>
  <si>
    <t>Ли Александр</t>
  </si>
  <si>
    <t>Воронов Олег</t>
  </si>
  <si>
    <t>Кравцов Владимир</t>
  </si>
  <si>
    <t>Чашин Василий</t>
  </si>
  <si>
    <t>Майсов Антон</t>
  </si>
  <si>
    <t>Тихонов Дмитрий</t>
  </si>
  <si>
    <t>Денисов Евгений</t>
  </si>
  <si>
    <t>Базарев Дмитрий</t>
  </si>
  <si>
    <t>Трофимов Александр</t>
  </si>
  <si>
    <t>Красноперов Игорь</t>
  </si>
  <si>
    <t>Поляков Алексей</t>
  </si>
  <si>
    <t>Давыдов Андрей</t>
  </si>
  <si>
    <t>Бейгер Максим</t>
  </si>
  <si>
    <t>Вдовенко Виталий</t>
  </si>
  <si>
    <t>Педченко Александр</t>
  </si>
  <si>
    <t>Тарасов Константин</t>
  </si>
  <si>
    <t>ММ2</t>
  </si>
  <si>
    <t>ММ3</t>
  </si>
  <si>
    <t>Калуга. Группа КМ2</t>
  </si>
  <si>
    <t>Калуга. Группа КМ1</t>
  </si>
  <si>
    <t>Банщиков</t>
  </si>
  <si>
    <t>Федотовский М.</t>
  </si>
  <si>
    <t>Душечкин</t>
  </si>
  <si>
    <t>Трутнев</t>
  </si>
  <si>
    <t>Шундрин А.</t>
  </si>
  <si>
    <t>Федотовский О.</t>
  </si>
  <si>
    <t>Колесников Андрей</t>
  </si>
  <si>
    <t>Шундрин Д.</t>
  </si>
  <si>
    <t>Михеенко</t>
  </si>
  <si>
    <t>Гоцфрид</t>
  </si>
  <si>
    <t>Глеклер</t>
  </si>
  <si>
    <t>Шундрин М.</t>
  </si>
  <si>
    <t>Царегородцев</t>
  </si>
  <si>
    <t>ММ4</t>
  </si>
  <si>
    <t xml:space="preserve">№пп </t>
  </si>
  <si>
    <t>Город</t>
  </si>
  <si>
    <t>Группа</t>
  </si>
  <si>
    <t>Приозерск</t>
  </si>
  <si>
    <t>Питер</t>
  </si>
  <si>
    <t>Анапа</t>
  </si>
  <si>
    <t>Десногорск</t>
  </si>
  <si>
    <t>Москва</t>
  </si>
  <si>
    <t>Калуга</t>
  </si>
  <si>
    <t>ПоМ1</t>
  </si>
  <si>
    <t>ПоМ2</t>
  </si>
  <si>
    <t>Мишин Дмитрий</t>
  </si>
  <si>
    <t>Смирнов Виктор</t>
  </si>
  <si>
    <t>вместо Северова</t>
  </si>
  <si>
    <t>ПМ1</t>
  </si>
  <si>
    <t>Лямунов Никита</t>
  </si>
  <si>
    <t>Кувакин Валерий</t>
  </si>
  <si>
    <t>ПМ2</t>
  </si>
  <si>
    <t>Федотов Николай</t>
  </si>
  <si>
    <t>Африканов Андрей</t>
  </si>
  <si>
    <t>ПМ3</t>
  </si>
  <si>
    <t>АМ1</t>
  </si>
  <si>
    <t>ДМ1</t>
  </si>
  <si>
    <t>Томск</t>
  </si>
  <si>
    <t>ТМ1</t>
  </si>
  <si>
    <t>ТМ2</t>
  </si>
  <si>
    <t>вместо Гольдт</t>
  </si>
  <si>
    <t>Трутнев Евгений</t>
  </si>
  <si>
    <t>КМ1</t>
  </si>
  <si>
    <t>Федотовский Олег</t>
  </si>
  <si>
    <t>Шундрин Михаил</t>
  </si>
  <si>
    <t>КМ2</t>
  </si>
  <si>
    <t>Царегородцев Александр</t>
  </si>
  <si>
    <t>вместо Коржова из Анапы</t>
  </si>
  <si>
    <t>ММ5</t>
  </si>
  <si>
    <t>Поток</t>
  </si>
  <si>
    <t>Замены</t>
  </si>
  <si>
    <t>сеяный по проценту побед</t>
  </si>
  <si>
    <t>не сеяный по проценту побед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</si>
</sst>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"/>
    <numFmt numFmtId="165" formatCode="\+##;\-##;0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indexed="8"/>
      <name val="Cambria"/>
      <family val="1"/>
      <charset val="204"/>
      <scheme val="major"/>
    </font>
    <font>
      <sz val="16"/>
      <color theme="0" tint="-0.1499984740745262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0" xfId="0" applyFill="1"/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2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0" fillId="4" borderId="2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/>
    <xf numFmtId="0" fontId="0" fillId="0" borderId="24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right" indent="1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0" xfId="0" applyFill="1" applyBorder="1"/>
    <xf numFmtId="0" fontId="6" fillId="0" borderId="0" xfId="0" applyFont="1"/>
    <xf numFmtId="2" fontId="6" fillId="0" borderId="0" xfId="0" applyNumberFormat="1" applyFont="1"/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 wrapText="1" indent="1"/>
    </xf>
    <xf numFmtId="0" fontId="4" fillId="5" borderId="30" xfId="0" applyFont="1" applyFill="1" applyBorder="1" applyAlignment="1">
      <alignment horizontal="left" vertical="center" wrapText="1" indent="1"/>
    </xf>
    <xf numFmtId="0" fontId="4" fillId="5" borderId="31" xfId="0" applyFont="1" applyFill="1" applyBorder="1" applyAlignment="1">
      <alignment horizontal="left" vertical="center" wrapText="1" indent="1"/>
    </xf>
    <xf numFmtId="0" fontId="7" fillId="5" borderId="3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 indent="1"/>
    </xf>
    <xf numFmtId="0" fontId="4" fillId="3" borderId="37" xfId="0" applyFont="1" applyFill="1" applyBorder="1" applyAlignment="1">
      <alignment horizontal="left" vertical="center" wrapText="1" indent="1"/>
    </xf>
    <xf numFmtId="0" fontId="4" fillId="3" borderId="38" xfId="0" applyFont="1" applyFill="1" applyBorder="1" applyAlignment="1">
      <alignment horizontal="left" vertical="center" wrapText="1" indent="1"/>
    </xf>
    <xf numFmtId="0" fontId="4" fillId="3" borderId="23" xfId="0" applyFont="1" applyFill="1" applyBorder="1" applyAlignment="1">
      <alignment horizontal="left" vertical="center" wrapText="1" indent="1"/>
    </xf>
    <xf numFmtId="0" fontId="4" fillId="3" borderId="41" xfId="0" applyFont="1" applyFill="1" applyBorder="1" applyAlignment="1">
      <alignment horizontal="left" vertical="center" wrapText="1" indent="1"/>
    </xf>
    <xf numFmtId="0" fontId="4" fillId="3" borderId="42" xfId="0" applyFont="1" applyFill="1" applyBorder="1" applyAlignment="1">
      <alignment horizontal="left" vertical="center" wrapText="1" indent="1"/>
    </xf>
    <xf numFmtId="0" fontId="4" fillId="3" borderId="21" xfId="0" applyFont="1" applyFill="1" applyBorder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3" borderId="31" xfId="0" applyFont="1" applyFill="1" applyBorder="1" applyAlignment="1">
      <alignment horizontal="left" vertical="center" wrapText="1" indent="1"/>
    </xf>
    <xf numFmtId="0" fontId="7" fillId="3" borderId="3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41" xfId="0" applyFont="1" applyFill="1" applyBorder="1" applyAlignment="1">
      <alignment horizontal="left" vertical="center" wrapText="1" indent="1"/>
    </xf>
    <xf numFmtId="0" fontId="4" fillId="0" borderId="42" xfId="0" applyFont="1" applyFill="1" applyBorder="1" applyAlignment="1">
      <alignment horizontal="left" vertical="center" wrapText="1" indent="1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 wrapText="1" indent="1"/>
    </xf>
    <xf numFmtId="0" fontId="4" fillId="5" borderId="41" xfId="0" applyFont="1" applyFill="1" applyBorder="1" applyAlignment="1">
      <alignment horizontal="left" vertical="center" wrapText="1" indent="1"/>
    </xf>
    <xf numFmtId="0" fontId="4" fillId="5" borderId="42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>
      <alignment horizontal="left" vertical="center" wrapText="1" indent="1"/>
    </xf>
    <xf numFmtId="0" fontId="4" fillId="5" borderId="29" xfId="0" applyFont="1" applyFill="1" applyBorder="1" applyAlignment="1">
      <alignment horizontal="left" vertical="center" wrapText="1" indent="1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5" borderId="45" xfId="0" applyFont="1" applyFill="1" applyBorder="1" applyAlignment="1">
      <alignment horizontal="left" vertical="center" wrapText="1" indent="1"/>
    </xf>
    <xf numFmtId="0" fontId="4" fillId="5" borderId="46" xfId="0" applyFont="1" applyFill="1" applyBorder="1" applyAlignment="1">
      <alignment horizontal="left" vertical="center" wrapText="1" indent="1"/>
    </xf>
    <xf numFmtId="0" fontId="4" fillId="5" borderId="47" xfId="0" applyFont="1" applyFill="1" applyBorder="1" applyAlignment="1">
      <alignment horizontal="left" vertical="center" wrapText="1" indent="1"/>
    </xf>
    <xf numFmtId="0" fontId="4" fillId="5" borderId="48" xfId="0" applyFont="1" applyFill="1" applyBorder="1" applyAlignment="1">
      <alignment horizontal="left" vertical="center" wrapText="1" indent="1"/>
    </xf>
    <xf numFmtId="0" fontId="4" fillId="5" borderId="49" xfId="0" applyFont="1" applyFill="1" applyBorder="1" applyAlignment="1">
      <alignment horizontal="left" vertical="center" wrapText="1" indent="1"/>
    </xf>
    <xf numFmtId="0" fontId="4" fillId="5" borderId="50" xfId="0" applyFont="1" applyFill="1" applyBorder="1" applyAlignment="1">
      <alignment horizontal="left" vertical="center" wrapText="1" indent="1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center" wrapText="1" indent="1"/>
    </xf>
    <xf numFmtId="0" fontId="4" fillId="5" borderId="37" xfId="0" applyFont="1" applyFill="1" applyBorder="1" applyAlignment="1">
      <alignment horizontal="left" vertical="center" wrapText="1" indent="1"/>
    </xf>
    <xf numFmtId="0" fontId="4" fillId="5" borderId="38" xfId="0" applyFont="1" applyFill="1" applyBorder="1" applyAlignment="1">
      <alignment horizontal="left" vertical="center" wrapText="1" indent="1"/>
    </xf>
    <xf numFmtId="0" fontId="4" fillId="3" borderId="45" xfId="0" applyFont="1" applyFill="1" applyBorder="1" applyAlignment="1">
      <alignment horizontal="left" vertical="center" wrapText="1" indent="1"/>
    </xf>
    <xf numFmtId="0" fontId="4" fillId="3" borderId="46" xfId="0" applyFont="1" applyFill="1" applyBorder="1" applyAlignment="1">
      <alignment horizontal="left" vertical="center" wrapText="1" indent="1"/>
    </xf>
    <xf numFmtId="0" fontId="4" fillId="3" borderId="47" xfId="0" applyFont="1" applyFill="1" applyBorder="1" applyAlignment="1">
      <alignment horizontal="left" vertical="center" wrapText="1" indent="1"/>
    </xf>
    <xf numFmtId="0" fontId="4" fillId="0" borderId="45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4" fillId="0" borderId="47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43" xfId="0" applyFont="1" applyFill="1" applyBorder="1" applyAlignment="1">
      <alignment horizontal="left" vertical="center" wrapText="1" indent="1"/>
    </xf>
    <xf numFmtId="0" fontId="4" fillId="0" borderId="44" xfId="0" applyFont="1" applyFill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5" workbookViewId="0">
      <selection activeCell="C16" sqref="C16:E17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9" ht="59.25" customHeight="1" x14ac:dyDescent="0.25">
      <c r="B1" s="90" t="s">
        <v>20</v>
      </c>
      <c r="C1" s="90"/>
      <c r="D1" s="90"/>
      <c r="E1" s="90"/>
      <c r="F1" s="90"/>
      <c r="G1" s="90"/>
      <c r="H1" s="90"/>
      <c r="I1" s="90"/>
      <c r="J1" s="90"/>
      <c r="K1" s="90"/>
      <c r="L1" t="s">
        <v>21</v>
      </c>
      <c r="M1"/>
      <c r="N1" s="46">
        <v>45669</v>
      </c>
    </row>
    <row r="2" spans="2:19" ht="15.75" thickBot="1" x14ac:dyDescent="0.3">
      <c r="M2"/>
    </row>
    <row r="3" spans="2:19" ht="30" customHeight="1" thickBot="1" x14ac:dyDescent="0.3">
      <c r="B3" s="58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1">
        <v>7</v>
      </c>
      <c r="M3" s="3" t="s">
        <v>1</v>
      </c>
      <c r="N3" s="1" t="s">
        <v>3</v>
      </c>
      <c r="O3" s="4" t="s">
        <v>2</v>
      </c>
    </row>
    <row r="4" spans="2:19" ht="24" customHeight="1" x14ac:dyDescent="0.25">
      <c r="B4" s="94">
        <v>1</v>
      </c>
      <c r="C4" s="96" t="s">
        <v>13</v>
      </c>
      <c r="D4" s="97"/>
      <c r="E4" s="98"/>
      <c r="F4" s="10"/>
      <c r="G4" s="6" t="str">
        <f ca="1">INDIRECT(ADDRESS(29,6))&amp;":"&amp;INDIRECT(ADDRESS(29,7))</f>
        <v>6:13</v>
      </c>
      <c r="H4" s="6" t="str">
        <f ca="1">INDIRECT(ADDRESS(32,7))&amp;":"&amp;INDIRECT(ADDRESS(32,6))</f>
        <v>5:13</v>
      </c>
      <c r="I4" s="6" t="str">
        <f ca="1">INDIRECT(ADDRESS(38,6))&amp;":"&amp;INDIRECT(ADDRESS(38,7))</f>
        <v>13:8</v>
      </c>
      <c r="J4" s="6" t="str">
        <f ca="1">INDIRECT(ADDRESS(43,7))&amp;":"&amp;INDIRECT(ADDRESS(43,6))</f>
        <v>13:7</v>
      </c>
      <c r="K4" s="33" t="str">
        <f ca="1">INDIRECT(ADDRESS(47,6))&amp;":"&amp;INDIRECT(ADDRESS(47,7))</f>
        <v>13:11</v>
      </c>
      <c r="L4" s="20" t="str">
        <f ca="1">INDIRECT(ADDRESS(54,7))&amp;":"&amp;INDIRECT(ADDRESS(54,6))</f>
        <v>11:13</v>
      </c>
      <c r="M4" s="102">
        <f ca="1">IF(COUNT(F5:L5)=0,"",COUNTIF(F5:L5,"&gt;0")+0.5*COUNTIF(F5:L5,0))</f>
        <v>3</v>
      </c>
      <c r="N4" s="23">
        <v>0</v>
      </c>
      <c r="O4" s="88">
        <v>4</v>
      </c>
    </row>
    <row r="5" spans="2:19" ht="24" customHeight="1" x14ac:dyDescent="0.25">
      <c r="B5" s="95"/>
      <c r="C5" s="99"/>
      <c r="D5" s="100"/>
      <c r="E5" s="101"/>
      <c r="F5" s="13"/>
      <c r="G5" s="16">
        <f ca="1">IF(LEN(INDIRECT(ADDRESS(ROW()-1, COLUMN())))=1,"",INDIRECT(ADDRESS(29,6))-INDIRECT(ADDRESS(29,7)))</f>
        <v>-7</v>
      </c>
      <c r="H5" s="16">
        <f ca="1">IF(LEN(INDIRECT(ADDRESS(ROW()-1, COLUMN())))=1,"",INDIRECT(ADDRESS(32,7))-INDIRECT(ADDRESS(32,6)))</f>
        <v>-8</v>
      </c>
      <c r="I5" s="16">
        <f ca="1">IF(LEN(INDIRECT(ADDRESS(ROW()-1, COLUMN())))=1,"",INDIRECT(ADDRESS(38,6))-INDIRECT(ADDRESS(38,7)))</f>
        <v>5</v>
      </c>
      <c r="J5" s="16">
        <f ca="1">IF(LEN(INDIRECT(ADDRESS(ROW()-1, COLUMN())))=1,"",INDIRECT(ADDRESS(43,7))-INDIRECT(ADDRESS(43,6)))</f>
        <v>6</v>
      </c>
      <c r="K5" s="34">
        <f ca="1">IF(LEN(INDIRECT(ADDRESS(ROW()-1, COLUMN())))=1,"",INDIRECT(ADDRESS(47,6))-INDIRECT(ADDRESS(47,7)))</f>
        <v>2</v>
      </c>
      <c r="L5" s="17">
        <f ca="1">IF(LEN(INDIRECT(ADDRESS(ROW()-1, COLUMN())))=1,"",INDIRECT(ADDRESS(54,7))-INDIRECT(ADDRESS(54,6)))</f>
        <v>-2</v>
      </c>
      <c r="M5" s="103"/>
      <c r="N5" s="16">
        <f ca="1">IF(COUNT(F5:L5)=0,"",SUM(F5:L5))</f>
        <v>-4</v>
      </c>
      <c r="O5" s="89"/>
    </row>
    <row r="6" spans="2:19" ht="24" customHeight="1" x14ac:dyDescent="0.25">
      <c r="B6" s="104">
        <v>2</v>
      </c>
      <c r="C6" s="105" t="s">
        <v>14</v>
      </c>
      <c r="D6" s="106"/>
      <c r="E6" s="107"/>
      <c r="F6" s="12" t="str">
        <f ca="1">INDIRECT(ADDRESS(29,7))&amp;":"&amp;INDIRECT(ADDRESS(29,6))</f>
        <v>13:6</v>
      </c>
      <c r="G6" s="8"/>
      <c r="H6" s="7" t="str">
        <f ca="1">INDIRECT(ADDRESS(39,6))&amp;":"&amp;INDIRECT(ADDRESS(39,7))</f>
        <v>2:13</v>
      </c>
      <c r="I6" s="7" t="str">
        <f ca="1">INDIRECT(ADDRESS(42,7))&amp;":"&amp;INDIRECT(ADDRESS(42,6))</f>
        <v>13:1</v>
      </c>
      <c r="J6" s="7" t="str">
        <f ca="1">INDIRECT(ADDRESS(48,6))&amp;":"&amp;INDIRECT(ADDRESS(48,7))</f>
        <v>13:4</v>
      </c>
      <c r="K6" s="35" t="str">
        <f ca="1">INDIRECT(ADDRESS(53,7))&amp;":"&amp;INDIRECT(ADDRESS(53,6))</f>
        <v>13:9</v>
      </c>
      <c r="L6" s="11" t="str">
        <f ca="1">INDIRECT(ADDRESS(22,6))&amp;":"&amp;INDIRECT(ADDRESS(22,7))</f>
        <v>10:9</v>
      </c>
      <c r="M6" s="103">
        <f ca="1">IF(COUNT(F7:L7)=0,"",COUNTIF(F7:L7,"&gt;0")+0.5*COUNTIF(F7:L7,0))</f>
        <v>5</v>
      </c>
      <c r="N6" s="16"/>
      <c r="O6" s="108">
        <v>2</v>
      </c>
    </row>
    <row r="7" spans="2:19" ht="24" customHeight="1" x14ac:dyDescent="0.25">
      <c r="B7" s="95"/>
      <c r="C7" s="105"/>
      <c r="D7" s="106"/>
      <c r="E7" s="107"/>
      <c r="F7" s="22">
        <f ca="1">IF(LEN(INDIRECT(ADDRESS(ROW()-1, COLUMN())))=1,"",INDIRECT(ADDRESS(29,7))-INDIRECT(ADDRESS(29,6)))</f>
        <v>7</v>
      </c>
      <c r="G7" s="14"/>
      <c r="H7" s="16">
        <f ca="1">IF(LEN(INDIRECT(ADDRESS(ROW()-1, COLUMN())))=1,"",INDIRECT(ADDRESS(39,6))-INDIRECT(ADDRESS(39,7)))</f>
        <v>-11</v>
      </c>
      <c r="I7" s="16">
        <f ca="1">IF(LEN(INDIRECT(ADDRESS(ROW()-1, COLUMN())))=1,"",INDIRECT(ADDRESS(42,7))-INDIRECT(ADDRESS(42,6)))</f>
        <v>12</v>
      </c>
      <c r="J7" s="16">
        <f ca="1">IF(LEN(INDIRECT(ADDRESS(ROW()-1, COLUMN())))=1,"",INDIRECT(ADDRESS(48,6))-INDIRECT(ADDRESS(48,7)))</f>
        <v>9</v>
      </c>
      <c r="K7" s="34">
        <f ca="1">IF(LEN(INDIRECT(ADDRESS(ROW()-1, COLUMN())))=1,"",INDIRECT(ADDRESS(53,7))-INDIRECT(ADDRESS(53,6)))</f>
        <v>4</v>
      </c>
      <c r="L7" s="17">
        <f ca="1">IF(LEN(INDIRECT(ADDRESS(ROW()-1, COLUMN())))=1,"",INDIRECT(ADDRESS(22,6))-INDIRECT(ADDRESS(22,7)))</f>
        <v>1</v>
      </c>
      <c r="M7" s="103"/>
      <c r="N7" s="16">
        <f ca="1">IF(COUNT(F7:L7)=0,"",SUM(F7:L7))</f>
        <v>22</v>
      </c>
      <c r="O7" s="109"/>
      <c r="S7" s="43"/>
    </row>
    <row r="8" spans="2:19" ht="24" customHeight="1" x14ac:dyDescent="0.25">
      <c r="B8" s="104">
        <v>3</v>
      </c>
      <c r="C8" s="105" t="s">
        <v>15</v>
      </c>
      <c r="D8" s="106"/>
      <c r="E8" s="107"/>
      <c r="F8" s="12" t="str">
        <f ca="1">INDIRECT(ADDRESS(32,6))&amp;":"&amp;INDIRECT(ADDRESS(32,7))</f>
        <v>13:5</v>
      </c>
      <c r="G8" s="7" t="str">
        <f ca="1">INDIRECT(ADDRESS(39,7))&amp;":"&amp;INDIRECT(ADDRESS(39,6))</f>
        <v>13:2</v>
      </c>
      <c r="H8" s="8"/>
      <c r="I8" s="7" t="str">
        <f ca="1">INDIRECT(ADDRESS(49,6))&amp;":"&amp;INDIRECT(ADDRESS(49,7))</f>
        <v>13:0</v>
      </c>
      <c r="J8" s="7" t="str">
        <f ca="1">INDIRECT(ADDRESS(52,7))&amp;":"&amp;INDIRECT(ADDRESS(52,6))</f>
        <v>13:12</v>
      </c>
      <c r="K8" s="35" t="str">
        <f ca="1">INDIRECT(ADDRESS(23,6))&amp;":"&amp;INDIRECT(ADDRESS(23,7))</f>
        <v>13:6</v>
      </c>
      <c r="L8" s="11" t="str">
        <f ca="1">INDIRECT(ADDRESS(28,7))&amp;":"&amp;INDIRECT(ADDRESS(28,6))</f>
        <v>13:10</v>
      </c>
      <c r="M8" s="103">
        <f ca="1">IF(COUNT(F9:L9)=0,"",COUNTIF(F9:L9,"&gt;0")+0.5*COUNTIF(F9:L9,0))</f>
        <v>6</v>
      </c>
      <c r="N8" s="16"/>
      <c r="O8" s="108">
        <v>1</v>
      </c>
    </row>
    <row r="9" spans="2:19" ht="24" customHeight="1" x14ac:dyDescent="0.25">
      <c r="B9" s="95"/>
      <c r="C9" s="105"/>
      <c r="D9" s="106"/>
      <c r="E9" s="107"/>
      <c r="F9" s="22">
        <f ca="1">IF(LEN(INDIRECT(ADDRESS(ROW()-1, COLUMN())))=1,"",INDIRECT(ADDRESS(32,6))-INDIRECT(ADDRESS(32,7)))</f>
        <v>8</v>
      </c>
      <c r="G9" s="16">
        <f ca="1">IF(LEN(INDIRECT(ADDRESS(ROW()-1, COLUMN())))=1,"",INDIRECT(ADDRESS(39,7))-INDIRECT(ADDRESS(39,6)))</f>
        <v>11</v>
      </c>
      <c r="H9" s="14"/>
      <c r="I9" s="16">
        <f ca="1">IF(LEN(INDIRECT(ADDRESS(ROW()-1, COLUMN())))=1,"",INDIRECT(ADDRESS(49,6))-INDIRECT(ADDRESS(49,7)))</f>
        <v>13</v>
      </c>
      <c r="J9" s="16">
        <f ca="1">IF(LEN(INDIRECT(ADDRESS(ROW()-1, COLUMN())))=1,"",INDIRECT(ADDRESS(52,7))-INDIRECT(ADDRESS(52,6)))</f>
        <v>1</v>
      </c>
      <c r="K9" s="34">
        <f ca="1">IF(LEN(INDIRECT(ADDRESS(ROW()-1, COLUMN())))=1,"",INDIRECT(ADDRESS(23,6))-INDIRECT(ADDRESS(23,7)))</f>
        <v>7</v>
      </c>
      <c r="L9" s="17">
        <f ca="1">IF(LEN(INDIRECT(ADDRESS(ROW()-1, COLUMN())))=1,"",INDIRECT(ADDRESS(28,7))-INDIRECT(ADDRESS(28,6)))</f>
        <v>3</v>
      </c>
      <c r="M9" s="103"/>
      <c r="N9" s="16">
        <f ca="1">IF(COUNT(F9:L9)=0,"",SUM(F9:L9))</f>
        <v>43</v>
      </c>
      <c r="O9" s="109"/>
    </row>
    <row r="10" spans="2:19" ht="24" customHeight="1" x14ac:dyDescent="0.25">
      <c r="B10" s="104">
        <v>4</v>
      </c>
      <c r="C10" s="99" t="s">
        <v>16</v>
      </c>
      <c r="D10" s="100"/>
      <c r="E10" s="101"/>
      <c r="F10" s="12" t="str">
        <f ca="1">INDIRECT(ADDRESS(38,7))&amp;":"&amp;INDIRECT(ADDRESS(38,6))</f>
        <v>8:13</v>
      </c>
      <c r="G10" s="7" t="str">
        <f ca="1">INDIRECT(ADDRESS(42,6))&amp;":"&amp;INDIRECT(ADDRESS(42,7))</f>
        <v>1:13</v>
      </c>
      <c r="H10" s="7" t="str">
        <f ca="1">INDIRECT(ADDRESS(49,7))&amp;":"&amp;INDIRECT(ADDRESS(49,6))</f>
        <v>0:13</v>
      </c>
      <c r="I10" s="8"/>
      <c r="J10" s="7" t="str">
        <f ca="1">INDIRECT(ADDRESS(24,6))&amp;":"&amp;INDIRECT(ADDRESS(24,7))</f>
        <v>11:13</v>
      </c>
      <c r="K10" s="35" t="str">
        <f ca="1">INDIRECT(ADDRESS(27,7))&amp;":"&amp;INDIRECT(ADDRESS(27,6))</f>
        <v>2:13</v>
      </c>
      <c r="L10" s="11" t="str">
        <f ca="1">INDIRECT(ADDRESS(33,6))&amp;":"&amp;INDIRECT(ADDRESS(33,7))</f>
        <v>1:13</v>
      </c>
      <c r="M10" s="103">
        <f ca="1">IF(COUNT(F11:L11)=0,"",COUNTIF(F11:L11,"&gt;0")+0.5*COUNTIF(F11:L11,0))</f>
        <v>0</v>
      </c>
      <c r="N10" s="16"/>
      <c r="O10" s="110">
        <v>7</v>
      </c>
    </row>
    <row r="11" spans="2:19" ht="24" customHeight="1" x14ac:dyDescent="0.25">
      <c r="B11" s="95"/>
      <c r="C11" s="99"/>
      <c r="D11" s="100"/>
      <c r="E11" s="101"/>
      <c r="F11" s="22">
        <f ca="1">IF(LEN(INDIRECT(ADDRESS(ROW()-1, COLUMN())))=1,"",INDIRECT(ADDRESS(38,7))-INDIRECT(ADDRESS(38,6)))</f>
        <v>-5</v>
      </c>
      <c r="G11" s="16">
        <f ca="1">IF(LEN(INDIRECT(ADDRESS(ROW()-1, COLUMN())))=1,"",INDIRECT(ADDRESS(42,6))-INDIRECT(ADDRESS(42,7)))</f>
        <v>-12</v>
      </c>
      <c r="H11" s="16">
        <f ca="1">IF(LEN(INDIRECT(ADDRESS(ROW()-1, COLUMN())))=1,"",INDIRECT(ADDRESS(49,7))-INDIRECT(ADDRESS(49,6)))</f>
        <v>-13</v>
      </c>
      <c r="I11" s="14"/>
      <c r="J11" s="16">
        <f ca="1">IF(LEN(INDIRECT(ADDRESS(ROW()-1, COLUMN())))=1,"",INDIRECT(ADDRESS(24,6))-INDIRECT(ADDRESS(24,7)))</f>
        <v>-2</v>
      </c>
      <c r="K11" s="34">
        <f ca="1">IF(LEN(INDIRECT(ADDRESS(ROW()-1, COLUMN())))=1,"",INDIRECT(ADDRESS(27,7))-INDIRECT(ADDRESS(27,6)))</f>
        <v>-11</v>
      </c>
      <c r="L11" s="17">
        <f ca="1">IF(LEN(INDIRECT(ADDRESS(ROW()-1, COLUMN())))=1,"",INDIRECT(ADDRESS(33,6))-INDIRECT(ADDRESS(33,7)))</f>
        <v>-12</v>
      </c>
      <c r="M11" s="103"/>
      <c r="N11" s="16">
        <f ca="1">IF(COUNT(F11:L11)=0,"",SUM(F11:L11))</f>
        <v>-55</v>
      </c>
      <c r="O11" s="89"/>
    </row>
    <row r="12" spans="2:19" ht="24" customHeight="1" x14ac:dyDescent="0.25">
      <c r="B12" s="104">
        <v>5</v>
      </c>
      <c r="C12" s="99" t="s">
        <v>17</v>
      </c>
      <c r="D12" s="100"/>
      <c r="E12" s="101"/>
      <c r="F12" s="12" t="str">
        <f ca="1">INDIRECT(ADDRESS(43,6))&amp;":"&amp;INDIRECT(ADDRESS(43,7))</f>
        <v>7:13</v>
      </c>
      <c r="G12" s="7" t="str">
        <f ca="1">INDIRECT(ADDRESS(48,7))&amp;":"&amp;INDIRECT(ADDRESS(48,6))</f>
        <v>4:13</v>
      </c>
      <c r="H12" s="7" t="str">
        <f ca="1">INDIRECT(ADDRESS(52,6))&amp;":"&amp;INDIRECT(ADDRESS(52,7))</f>
        <v>12:13</v>
      </c>
      <c r="I12" s="7" t="str">
        <f ca="1">INDIRECT(ADDRESS(24,7))&amp;":"&amp;INDIRECT(ADDRESS(24,6))</f>
        <v>13:11</v>
      </c>
      <c r="J12" s="8"/>
      <c r="K12" s="35" t="str">
        <f ca="1">INDIRECT(ADDRESS(34,6))&amp;":"&amp;INDIRECT(ADDRESS(34,7))</f>
        <v>7:13</v>
      </c>
      <c r="L12" s="11" t="str">
        <f ca="1">INDIRECT(ADDRESS(37,7))&amp;":"&amp;INDIRECT(ADDRESS(37,6))</f>
        <v>9:13</v>
      </c>
      <c r="M12" s="103">
        <f ca="1">IF(COUNT(F13:L13)=0,"",COUNTIF(F13:L13,"&gt;0")+0.5*COUNTIF(F13:L13,0))</f>
        <v>1</v>
      </c>
      <c r="N12" s="16"/>
      <c r="O12" s="110">
        <v>6</v>
      </c>
    </row>
    <row r="13" spans="2:19" ht="24" customHeight="1" x14ac:dyDescent="0.25">
      <c r="B13" s="95"/>
      <c r="C13" s="99"/>
      <c r="D13" s="100"/>
      <c r="E13" s="101"/>
      <c r="F13" s="22">
        <f ca="1">IF(LEN(INDIRECT(ADDRESS(ROW()-1, COLUMN())))=1,"",INDIRECT(ADDRESS(43,6))-INDIRECT(ADDRESS(43,7)))</f>
        <v>-6</v>
      </c>
      <c r="G13" s="16">
        <f ca="1">IF(LEN(INDIRECT(ADDRESS(ROW()-1, COLUMN())))=1,"",INDIRECT(ADDRESS(48,7))-INDIRECT(ADDRESS(48,6)))</f>
        <v>-9</v>
      </c>
      <c r="H13" s="16">
        <f ca="1">IF(LEN(INDIRECT(ADDRESS(ROW()-1, COLUMN())))=1,"",INDIRECT(ADDRESS(52,6))-INDIRECT(ADDRESS(52,7)))</f>
        <v>-1</v>
      </c>
      <c r="I13" s="16">
        <f ca="1">IF(LEN(INDIRECT(ADDRESS(ROW()-1, COLUMN())))=1,"",INDIRECT(ADDRESS(24,7))-INDIRECT(ADDRESS(24,6)))</f>
        <v>2</v>
      </c>
      <c r="J13" s="14"/>
      <c r="K13" s="34">
        <f ca="1">IF(LEN(INDIRECT(ADDRESS(ROW()-1, COLUMN())))=1,"",INDIRECT(ADDRESS(34,6))-INDIRECT(ADDRESS(34,7)))</f>
        <v>-6</v>
      </c>
      <c r="L13" s="17">
        <f ca="1">IF(LEN(INDIRECT(ADDRESS(ROW()-1, COLUMN())))=1,"",INDIRECT(ADDRESS(37,7))-INDIRECT(ADDRESS(37,6)))</f>
        <v>-4</v>
      </c>
      <c r="M13" s="103"/>
      <c r="N13" s="16">
        <f ca="1">IF(COUNT(F13:L13)=0,"",SUM(F13:L13))</f>
        <v>-24</v>
      </c>
      <c r="O13" s="89"/>
    </row>
    <row r="14" spans="2:19" ht="24" customHeight="1" x14ac:dyDescent="0.25">
      <c r="B14" s="104">
        <v>6</v>
      </c>
      <c r="C14" s="99" t="s">
        <v>18</v>
      </c>
      <c r="D14" s="100"/>
      <c r="E14" s="101"/>
      <c r="F14" s="12" t="str">
        <f ca="1">INDIRECT(ADDRESS(47,7))&amp;":"&amp;INDIRECT(ADDRESS(47,6))</f>
        <v>11:13</v>
      </c>
      <c r="G14" s="7" t="str">
        <f ca="1">INDIRECT(ADDRESS(53,6))&amp;":"&amp;INDIRECT(ADDRESS(53,7))</f>
        <v>9:13</v>
      </c>
      <c r="H14" s="7" t="str">
        <f ca="1">INDIRECT(ADDRESS(23,7))&amp;":"&amp;INDIRECT(ADDRESS(23,6))</f>
        <v>6:13</v>
      </c>
      <c r="I14" s="7" t="str">
        <f ca="1">INDIRECT(ADDRESS(27,6))&amp;":"&amp;INDIRECT(ADDRESS(27,7))</f>
        <v>13:2</v>
      </c>
      <c r="J14" s="7" t="str">
        <f ca="1">INDIRECT(ADDRESS(34,7))&amp;":"&amp;INDIRECT(ADDRESS(34,6))</f>
        <v>13:7</v>
      </c>
      <c r="K14" s="36"/>
      <c r="L14" s="40" t="str">
        <f ca="1">INDIRECT(ADDRESS(44,6))&amp;":"&amp;INDIRECT(ADDRESS(44,7))</f>
        <v>13:12</v>
      </c>
      <c r="M14" s="103">
        <f ca="1">IF(COUNT(F15:L15)=0,"",COUNTIF(F15:L15,"&gt;0")+0.5*COUNTIF(F15:L15,0))</f>
        <v>3</v>
      </c>
      <c r="N14" s="16">
        <v>-1</v>
      </c>
      <c r="O14" s="110">
        <v>5</v>
      </c>
    </row>
    <row r="15" spans="2:19" ht="24" customHeight="1" x14ac:dyDescent="0.25">
      <c r="B15" s="95"/>
      <c r="C15" s="99"/>
      <c r="D15" s="100"/>
      <c r="E15" s="101"/>
      <c r="F15" s="22">
        <f ca="1">IF(LEN(INDIRECT(ADDRESS(ROW()-1, COLUMN())))=1,"",INDIRECT(ADDRESS(47,7))-INDIRECT(ADDRESS(47,6)))</f>
        <v>-2</v>
      </c>
      <c r="G15" s="16">
        <f ca="1">IF(LEN(INDIRECT(ADDRESS(ROW()-1, COLUMN())))=1,"",INDIRECT(ADDRESS(53,6))-INDIRECT(ADDRESS(53,7)))</f>
        <v>-4</v>
      </c>
      <c r="H15" s="16">
        <f ca="1">IF(LEN(INDIRECT(ADDRESS(ROW()-1, COLUMN())))=1,"",INDIRECT(ADDRESS(23,7))-INDIRECT(ADDRESS(23,6)))</f>
        <v>-7</v>
      </c>
      <c r="I15" s="16">
        <f ca="1">IF(LEN(INDIRECT(ADDRESS(ROW()-1, COLUMN())))=1,"",INDIRECT(ADDRESS(27,6))-INDIRECT(ADDRESS(27,7)))</f>
        <v>11</v>
      </c>
      <c r="J15" s="16">
        <f ca="1">IF(LEN(INDIRECT(ADDRESS(ROW()-1, COLUMN())))=1,"",INDIRECT(ADDRESS(34,7))-INDIRECT(ADDRESS(34,6)))</f>
        <v>6</v>
      </c>
      <c r="K15" s="37"/>
      <c r="L15" s="41">
        <f ca="1">IF(LEN(INDIRECT(ADDRESS(ROW()-1, COLUMN())))=1,"",INDIRECT(ADDRESS(44,6))-INDIRECT(ADDRESS(44,7)))</f>
        <v>1</v>
      </c>
      <c r="M15" s="103"/>
      <c r="N15" s="16">
        <f ca="1">IF(COUNT(F15:L15)=0,"",SUM(F15:L15))</f>
        <v>5</v>
      </c>
      <c r="O15" s="89"/>
    </row>
    <row r="16" spans="2:19" ht="24" customHeight="1" x14ac:dyDescent="0.25">
      <c r="B16" s="118">
        <v>7</v>
      </c>
      <c r="C16" s="120" t="s">
        <v>19</v>
      </c>
      <c r="D16" s="121"/>
      <c r="E16" s="122"/>
      <c r="F16" s="29" t="str">
        <f ca="1">INDIRECT(ADDRESS(54,6))&amp;":"&amp;INDIRECT(ADDRESS(54,7))</f>
        <v>13:11</v>
      </c>
      <c r="G16" s="30" t="str">
        <f ca="1">INDIRECT(ADDRESS(22,7))&amp;":"&amp;INDIRECT(ADDRESS(22,6))</f>
        <v>9:10</v>
      </c>
      <c r="H16" s="30" t="str">
        <f ca="1">INDIRECT(ADDRESS(28,6))&amp;":"&amp;INDIRECT(ADDRESS(28,7))</f>
        <v>10:13</v>
      </c>
      <c r="I16" s="30" t="str">
        <f ca="1">INDIRECT(ADDRESS(33,7))&amp;":"&amp;INDIRECT(ADDRESS(33,6))</f>
        <v>13:1</v>
      </c>
      <c r="J16" s="30" t="str">
        <f ca="1">INDIRECT(ADDRESS(37,6))&amp;":"&amp;INDIRECT(ADDRESS(37,7))</f>
        <v>13:9</v>
      </c>
      <c r="K16" s="38" t="str">
        <f ca="1">INDIRECT(ADDRESS(44,7))&amp;":"&amp;INDIRECT(ADDRESS(44,6))</f>
        <v>12:13</v>
      </c>
      <c r="L16" s="31"/>
      <c r="M16" s="103">
        <f ca="1">IF(COUNT(F17:L17)=0,"",COUNTIF(F17:L17,"&gt;0")+0.5*COUNTIF(F17:L17,0))</f>
        <v>3</v>
      </c>
      <c r="N16" s="32">
        <v>1</v>
      </c>
      <c r="O16" s="116">
        <v>3</v>
      </c>
    </row>
    <row r="17" spans="2:15" ht="24" customHeight="1" thickBot="1" x14ac:dyDescent="0.3">
      <c r="B17" s="119"/>
      <c r="C17" s="123"/>
      <c r="D17" s="124"/>
      <c r="E17" s="125"/>
      <c r="F17" s="19">
        <f ca="1">IF(LEN(INDIRECT(ADDRESS(ROW()-1, COLUMN())))=1,"",INDIRECT(ADDRESS(54,6))-INDIRECT(ADDRESS(54,7)))</f>
        <v>2</v>
      </c>
      <c r="G17" s="18">
        <f ca="1">IF(LEN(INDIRECT(ADDRESS(ROW()-1, COLUMN())))=1,"",INDIRECT(ADDRESS(22,7))-INDIRECT(ADDRESS(22,6)))</f>
        <v>-1</v>
      </c>
      <c r="H17" s="18">
        <f ca="1">IF(LEN(INDIRECT(ADDRESS(ROW()-1, COLUMN())))=1,"",INDIRECT(ADDRESS(28,6))-INDIRECT(ADDRESS(28,7)))</f>
        <v>-3</v>
      </c>
      <c r="I17" s="18">
        <f ca="1">IF(LEN(INDIRECT(ADDRESS(ROW()-1, COLUMN())))=1,"",INDIRECT(ADDRESS(33,7))-INDIRECT(ADDRESS(33,6)))</f>
        <v>12</v>
      </c>
      <c r="J17" s="18">
        <f ca="1">IF(LEN(INDIRECT(ADDRESS(ROW()-1, COLUMN())))=1,"",INDIRECT(ADDRESS(37,6))-INDIRECT(ADDRESS(37,7)))</f>
        <v>4</v>
      </c>
      <c r="K17" s="39">
        <f ca="1">IF(LEN(INDIRECT(ADDRESS(ROW()-1, COLUMN())))=1,"",INDIRECT(ADDRESS(44,7))-INDIRECT(ADDRESS(44,6)))</f>
        <v>-1</v>
      </c>
      <c r="L17" s="15"/>
      <c r="M17" s="115"/>
      <c r="N17" s="18">
        <f ca="1">IF(COUNT(F17:L17)=0,"",SUM(F17:L17))</f>
        <v>13</v>
      </c>
      <c r="O17" s="117"/>
    </row>
    <row r="18" spans="2:15" x14ac:dyDescent="0.25">
      <c r="M18"/>
    </row>
    <row r="19" spans="2:15" x14ac:dyDescent="0.25">
      <c r="M19"/>
    </row>
    <row r="20" spans="2:15" x14ac:dyDescent="0.25">
      <c r="M20"/>
    </row>
    <row r="21" spans="2:15" ht="30" customHeight="1" thickBot="1" x14ac:dyDescent="0.3">
      <c r="B21" s="114" t="s">
        <v>4</v>
      </c>
      <c r="C21" s="114"/>
      <c r="D21" s="114"/>
      <c r="E21" s="114"/>
      <c r="F21" s="114"/>
      <c r="G21" s="114"/>
      <c r="H21" s="114"/>
      <c r="I21" s="114"/>
      <c r="J21" s="114"/>
      <c r="K21" s="114"/>
      <c r="M21"/>
    </row>
    <row r="22" spans="2:15" ht="30" customHeight="1" thickBot="1" x14ac:dyDescent="0.3">
      <c r="B22" s="5">
        <v>2</v>
      </c>
      <c r="C22" s="111" t="str">
        <f ca="1">IF(ISBLANK(INDIRECT(ADDRESS(B22*2+2,3))),"",INDIRECT(ADDRESS(B22*2+2,3)))</f>
        <v>Пелевин Андрей</v>
      </c>
      <c r="D22" s="111"/>
      <c r="E22" s="112"/>
      <c r="F22" s="24">
        <v>10</v>
      </c>
      <c r="G22" s="25">
        <v>9</v>
      </c>
      <c r="H22" s="113" t="str">
        <f ca="1">IF(ISBLANK(INDIRECT(ADDRESS(K22*2+2,3))),"",INDIRECT(ADDRESS(K22*2+2,3)))</f>
        <v>Попов Виктор</v>
      </c>
      <c r="I22" s="111"/>
      <c r="J22" s="111"/>
      <c r="K22" s="5">
        <v>7</v>
      </c>
      <c r="L22" s="27" t="s">
        <v>10</v>
      </c>
      <c r="M22" s="26"/>
    </row>
    <row r="23" spans="2:15" ht="30" customHeight="1" thickBot="1" x14ac:dyDescent="0.3">
      <c r="B23" s="5">
        <v>3</v>
      </c>
      <c r="C23" s="111" t="str">
        <f ca="1">IF(ISBLANK(INDIRECT(ADDRESS(B23*2+2,3))),"",INDIRECT(ADDRESS(B23*2+2,3)))</f>
        <v>Иванов Юрий</v>
      </c>
      <c r="D23" s="111"/>
      <c r="E23" s="112"/>
      <c r="F23" s="24">
        <v>13</v>
      </c>
      <c r="G23" s="25">
        <v>6</v>
      </c>
      <c r="H23" s="113" t="str">
        <f ca="1">IF(ISBLANK(INDIRECT(ADDRESS(K23*2+2,3))),"",INDIRECT(ADDRESS(K23*2+2,3)))</f>
        <v>Гаркавый Вадим</v>
      </c>
      <c r="I23" s="111"/>
      <c r="J23" s="111"/>
      <c r="K23" s="5">
        <v>6</v>
      </c>
      <c r="L23" s="27" t="s">
        <v>10</v>
      </c>
      <c r="M23" s="26"/>
    </row>
    <row r="24" spans="2:15" ht="30" customHeight="1" thickBot="1" x14ac:dyDescent="0.3">
      <c r="B24" s="5">
        <v>4</v>
      </c>
      <c r="C24" s="111" t="str">
        <f ca="1">IF(ISBLANK(INDIRECT(ADDRESS(B24*2+2,3))),"",INDIRECT(ADDRESS(B24*2+2,3)))</f>
        <v>Николаев Александр</v>
      </c>
      <c r="D24" s="111"/>
      <c r="E24" s="112"/>
      <c r="F24" s="24">
        <v>11</v>
      </c>
      <c r="G24" s="25">
        <v>13</v>
      </c>
      <c r="H24" s="113" t="str">
        <f ca="1">IF(ISBLANK(INDIRECT(ADDRESS(K24*2+2,3))),"",INDIRECT(ADDRESS(K24*2+2,3)))</f>
        <v>Горбунов Алексей</v>
      </c>
      <c r="I24" s="111"/>
      <c r="J24" s="111"/>
      <c r="K24" s="5">
        <v>5</v>
      </c>
      <c r="L24" s="27" t="s">
        <v>10</v>
      </c>
      <c r="M24" s="26"/>
    </row>
    <row r="25" spans="2:15" ht="30" customHeight="1" x14ac:dyDescent="0.25"/>
    <row r="26" spans="2:15" ht="30" customHeight="1" thickBot="1" x14ac:dyDescent="0.3">
      <c r="B26" s="114" t="s">
        <v>5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2:15" ht="30" customHeight="1" thickBot="1" x14ac:dyDescent="0.3">
      <c r="B27" s="5">
        <v>6</v>
      </c>
      <c r="C27" s="111" t="str">
        <f ca="1">IF(ISBLANK(INDIRECT(ADDRESS(B27*2+2,3))),"",INDIRECT(ADDRESS(B27*2+2,3)))</f>
        <v>Гаркавый Вадим</v>
      </c>
      <c r="D27" s="111"/>
      <c r="E27" s="112"/>
      <c r="F27" s="24">
        <v>13</v>
      </c>
      <c r="G27" s="25">
        <v>2</v>
      </c>
      <c r="H27" s="113" t="str">
        <f ca="1">IF(ISBLANK(INDIRECT(ADDRESS(K27*2+2,3))),"",INDIRECT(ADDRESS(K27*2+2,3)))</f>
        <v>Николаев Александр</v>
      </c>
      <c r="I27" s="111"/>
      <c r="J27" s="111"/>
      <c r="K27" s="5">
        <v>4</v>
      </c>
      <c r="L27" s="27" t="s">
        <v>10</v>
      </c>
      <c r="M27" s="26"/>
    </row>
    <row r="28" spans="2:15" ht="30" customHeight="1" thickBot="1" x14ac:dyDescent="0.3">
      <c r="B28" s="5">
        <v>7</v>
      </c>
      <c r="C28" s="111" t="str">
        <f ca="1">IF(ISBLANK(INDIRECT(ADDRESS(B28*2+2,3))),"",INDIRECT(ADDRESS(B28*2+2,3)))</f>
        <v>Попов Виктор</v>
      </c>
      <c r="D28" s="111"/>
      <c r="E28" s="112"/>
      <c r="F28" s="24">
        <v>10</v>
      </c>
      <c r="G28" s="25">
        <v>13</v>
      </c>
      <c r="H28" s="113" t="str">
        <f ca="1">IF(ISBLANK(INDIRECT(ADDRESS(K28*2+2,3))),"",INDIRECT(ADDRESS(K28*2+2,3)))</f>
        <v>Иванов Юрий</v>
      </c>
      <c r="I28" s="111"/>
      <c r="J28" s="111"/>
      <c r="K28" s="5">
        <v>3</v>
      </c>
      <c r="L28" s="27" t="s">
        <v>10</v>
      </c>
      <c r="M28" s="26"/>
    </row>
    <row r="29" spans="2:15" ht="30" customHeight="1" thickBot="1" x14ac:dyDescent="0.3">
      <c r="B29" s="5">
        <v>1</v>
      </c>
      <c r="C29" s="111" t="str">
        <f ca="1">IF(ISBLANK(INDIRECT(ADDRESS(B29*2+2,3))),"",INDIRECT(ADDRESS(B29*2+2,3)))</f>
        <v>Гедройц-Юраго Алексей</v>
      </c>
      <c r="D29" s="111"/>
      <c r="E29" s="112"/>
      <c r="F29" s="24">
        <v>6</v>
      </c>
      <c r="G29" s="25">
        <v>13</v>
      </c>
      <c r="H29" s="113" t="str">
        <f ca="1">IF(ISBLANK(INDIRECT(ADDRESS(K29*2+2,3))),"",INDIRECT(ADDRESS(K29*2+2,3)))</f>
        <v>Пелевин Андрей</v>
      </c>
      <c r="I29" s="111"/>
      <c r="J29" s="111"/>
      <c r="K29" s="5">
        <v>2</v>
      </c>
      <c r="L29" s="27" t="s">
        <v>10</v>
      </c>
      <c r="M29" s="26"/>
    </row>
    <row r="30" spans="2:15" ht="30" customHeight="1" x14ac:dyDescent="0.25"/>
    <row r="31" spans="2:15" ht="30" customHeight="1" thickBot="1" x14ac:dyDescent="0.3">
      <c r="B31" s="114" t="s">
        <v>6</v>
      </c>
      <c r="C31" s="114"/>
      <c r="D31" s="114"/>
      <c r="E31" s="114"/>
      <c r="F31" s="114"/>
      <c r="G31" s="114"/>
      <c r="H31" s="114"/>
      <c r="I31" s="114"/>
      <c r="J31" s="114"/>
      <c r="K31" s="114"/>
    </row>
    <row r="32" spans="2:15" ht="30" customHeight="1" thickBot="1" x14ac:dyDescent="0.3">
      <c r="B32" s="5">
        <v>3</v>
      </c>
      <c r="C32" s="111" t="str">
        <f ca="1">IF(ISBLANK(INDIRECT(ADDRESS(B32*2+2,3))),"",INDIRECT(ADDRESS(B32*2+2,3)))</f>
        <v>Иванов Юрий</v>
      </c>
      <c r="D32" s="111"/>
      <c r="E32" s="112"/>
      <c r="F32" s="24">
        <v>13</v>
      </c>
      <c r="G32" s="25">
        <v>5</v>
      </c>
      <c r="H32" s="113" t="str">
        <f ca="1">IF(ISBLANK(INDIRECT(ADDRESS(K32*2+2,3))),"",INDIRECT(ADDRESS(K32*2+2,3)))</f>
        <v>Гедройц-Юраго Алексей</v>
      </c>
      <c r="I32" s="111"/>
      <c r="J32" s="111"/>
      <c r="K32" s="5">
        <v>1</v>
      </c>
      <c r="L32" s="27" t="s">
        <v>10</v>
      </c>
      <c r="M32" s="26"/>
    </row>
    <row r="33" spans="2:13" ht="30" customHeight="1" thickBot="1" x14ac:dyDescent="0.3">
      <c r="B33" s="5">
        <v>4</v>
      </c>
      <c r="C33" s="111" t="str">
        <f ca="1">IF(ISBLANK(INDIRECT(ADDRESS(B33*2+2,3))),"",INDIRECT(ADDRESS(B33*2+2,3)))</f>
        <v>Николаев Александр</v>
      </c>
      <c r="D33" s="111"/>
      <c r="E33" s="112"/>
      <c r="F33" s="24">
        <v>1</v>
      </c>
      <c r="G33" s="25">
        <v>13</v>
      </c>
      <c r="H33" s="113" t="str">
        <f ca="1">IF(ISBLANK(INDIRECT(ADDRESS(K33*2+2,3))),"",INDIRECT(ADDRESS(K33*2+2,3)))</f>
        <v>Попов Виктор</v>
      </c>
      <c r="I33" s="111"/>
      <c r="J33" s="111"/>
      <c r="K33" s="5">
        <v>7</v>
      </c>
      <c r="L33" s="27" t="s">
        <v>10</v>
      </c>
      <c r="M33" s="26"/>
    </row>
    <row r="34" spans="2:13" ht="30" customHeight="1" thickBot="1" x14ac:dyDescent="0.3">
      <c r="B34" s="5">
        <v>5</v>
      </c>
      <c r="C34" s="111" t="str">
        <f ca="1">IF(ISBLANK(INDIRECT(ADDRESS(B34*2+2,3))),"",INDIRECT(ADDRESS(B34*2+2,3)))</f>
        <v>Горбунов Алексей</v>
      </c>
      <c r="D34" s="111"/>
      <c r="E34" s="112"/>
      <c r="F34" s="24">
        <v>7</v>
      </c>
      <c r="G34" s="25">
        <v>13</v>
      </c>
      <c r="H34" s="113" t="str">
        <f ca="1">IF(ISBLANK(INDIRECT(ADDRESS(K34*2+2,3))),"",INDIRECT(ADDRESS(K34*2+2,3)))</f>
        <v>Гаркавый Вадим</v>
      </c>
      <c r="I34" s="111"/>
      <c r="J34" s="111"/>
      <c r="K34" s="5">
        <v>6</v>
      </c>
      <c r="L34" s="27" t="s">
        <v>10</v>
      </c>
      <c r="M34" s="26"/>
    </row>
    <row r="35" spans="2:13" ht="30" customHeight="1" x14ac:dyDescent="0.25"/>
    <row r="36" spans="2:13" ht="30" customHeight="1" thickBot="1" x14ac:dyDescent="0.3">
      <c r="B36" s="114" t="s">
        <v>7</v>
      </c>
      <c r="C36" s="114"/>
      <c r="D36" s="114"/>
      <c r="E36" s="114"/>
      <c r="F36" s="114"/>
      <c r="G36" s="114"/>
      <c r="H36" s="114"/>
      <c r="I36" s="114"/>
      <c r="J36" s="114"/>
      <c r="K36" s="114"/>
    </row>
    <row r="37" spans="2:13" ht="30" customHeight="1" thickBot="1" x14ac:dyDescent="0.3">
      <c r="B37" s="5">
        <v>7</v>
      </c>
      <c r="C37" s="111" t="str">
        <f ca="1">IF(ISBLANK(INDIRECT(ADDRESS(B37*2+2,3))),"",INDIRECT(ADDRESS(B37*2+2,3)))</f>
        <v>Попов Виктор</v>
      </c>
      <c r="D37" s="111"/>
      <c r="E37" s="112"/>
      <c r="F37" s="24">
        <v>13</v>
      </c>
      <c r="G37" s="25">
        <v>9</v>
      </c>
      <c r="H37" s="113" t="str">
        <f ca="1">IF(ISBLANK(INDIRECT(ADDRESS(K37*2+2,3))),"",INDIRECT(ADDRESS(K37*2+2,3)))</f>
        <v>Горбунов Алексей</v>
      </c>
      <c r="I37" s="111"/>
      <c r="J37" s="111"/>
      <c r="K37" s="5">
        <v>5</v>
      </c>
      <c r="L37" s="27" t="s">
        <v>10</v>
      </c>
      <c r="M37" s="26"/>
    </row>
    <row r="38" spans="2:13" ht="30" customHeight="1" thickBot="1" x14ac:dyDescent="0.3">
      <c r="B38" s="5">
        <v>1</v>
      </c>
      <c r="C38" s="111" t="str">
        <f ca="1">IF(ISBLANK(INDIRECT(ADDRESS(B38*2+2,3))),"",INDIRECT(ADDRESS(B38*2+2,3)))</f>
        <v>Гедройц-Юраго Алексей</v>
      </c>
      <c r="D38" s="111"/>
      <c r="E38" s="112"/>
      <c r="F38" s="24">
        <v>13</v>
      </c>
      <c r="G38" s="25">
        <v>8</v>
      </c>
      <c r="H38" s="113" t="str">
        <f ca="1">IF(ISBLANK(INDIRECT(ADDRESS(K38*2+2,3))),"",INDIRECT(ADDRESS(K38*2+2,3)))</f>
        <v>Николаев Александр</v>
      </c>
      <c r="I38" s="111"/>
      <c r="J38" s="111"/>
      <c r="K38" s="5">
        <v>4</v>
      </c>
      <c r="L38" s="27" t="s">
        <v>10</v>
      </c>
      <c r="M38" s="26"/>
    </row>
    <row r="39" spans="2:13" ht="30" customHeight="1" thickBot="1" x14ac:dyDescent="0.3">
      <c r="B39" s="5">
        <v>2</v>
      </c>
      <c r="C39" s="111" t="str">
        <f ca="1">IF(ISBLANK(INDIRECT(ADDRESS(B39*2+2,3))),"",INDIRECT(ADDRESS(B39*2+2,3)))</f>
        <v>Пелевин Андрей</v>
      </c>
      <c r="D39" s="111"/>
      <c r="E39" s="112"/>
      <c r="F39" s="24">
        <v>2</v>
      </c>
      <c r="G39" s="25">
        <v>13</v>
      </c>
      <c r="H39" s="113" t="str">
        <f ca="1">IF(ISBLANK(INDIRECT(ADDRESS(K39*2+2,3))),"",INDIRECT(ADDRESS(K39*2+2,3)))</f>
        <v>Иванов Юрий</v>
      </c>
      <c r="I39" s="111"/>
      <c r="J39" s="111"/>
      <c r="K39" s="5">
        <v>3</v>
      </c>
      <c r="L39" s="27" t="s">
        <v>10</v>
      </c>
      <c r="M39" s="26"/>
    </row>
    <row r="40" spans="2:13" ht="30" customHeight="1" x14ac:dyDescent="0.25"/>
    <row r="41" spans="2:13" ht="30" customHeight="1" thickBot="1" x14ac:dyDescent="0.3">
      <c r="B41" s="114" t="s">
        <v>8</v>
      </c>
      <c r="C41" s="114"/>
      <c r="D41" s="114"/>
      <c r="E41" s="114"/>
      <c r="F41" s="114"/>
      <c r="G41" s="114"/>
      <c r="H41" s="114"/>
      <c r="I41" s="114"/>
      <c r="J41" s="114"/>
      <c r="K41" s="114"/>
    </row>
    <row r="42" spans="2:13" ht="30" customHeight="1" thickBot="1" x14ac:dyDescent="0.3">
      <c r="B42" s="5">
        <v>4</v>
      </c>
      <c r="C42" s="111" t="str">
        <f ca="1">IF(ISBLANK(INDIRECT(ADDRESS(B42*2+2,3))),"",INDIRECT(ADDRESS(B42*2+2,3)))</f>
        <v>Николаев Александр</v>
      </c>
      <c r="D42" s="111"/>
      <c r="E42" s="112"/>
      <c r="F42" s="24">
        <v>1</v>
      </c>
      <c r="G42" s="25">
        <v>13</v>
      </c>
      <c r="H42" s="113" t="str">
        <f ca="1">IF(ISBLANK(INDIRECT(ADDRESS(K42*2+2,3))),"",INDIRECT(ADDRESS(K42*2+2,3)))</f>
        <v>Пелевин Андрей</v>
      </c>
      <c r="I42" s="111"/>
      <c r="J42" s="111"/>
      <c r="K42" s="5">
        <v>2</v>
      </c>
      <c r="L42" s="27" t="s">
        <v>10</v>
      </c>
      <c r="M42" s="26"/>
    </row>
    <row r="43" spans="2:13" ht="30" customHeight="1" thickBot="1" x14ac:dyDescent="0.3">
      <c r="B43" s="5">
        <v>5</v>
      </c>
      <c r="C43" s="111" t="str">
        <f ca="1">IF(ISBLANK(INDIRECT(ADDRESS(B43*2+2,3))),"",INDIRECT(ADDRESS(B43*2+2,3)))</f>
        <v>Горбунов Алексей</v>
      </c>
      <c r="D43" s="111"/>
      <c r="E43" s="112"/>
      <c r="F43" s="24">
        <v>7</v>
      </c>
      <c r="G43" s="25">
        <v>13</v>
      </c>
      <c r="H43" s="113" t="str">
        <f ca="1">IF(ISBLANK(INDIRECT(ADDRESS(K43*2+2,3))),"",INDIRECT(ADDRESS(K43*2+2,3)))</f>
        <v>Гедройц-Юраго Алексей</v>
      </c>
      <c r="I43" s="111"/>
      <c r="J43" s="111"/>
      <c r="K43" s="5">
        <v>1</v>
      </c>
      <c r="L43" s="27" t="s">
        <v>10</v>
      </c>
      <c r="M43" s="26"/>
    </row>
    <row r="44" spans="2:13" ht="30" customHeight="1" thickBot="1" x14ac:dyDescent="0.3">
      <c r="B44" s="5">
        <v>6</v>
      </c>
      <c r="C44" s="111" t="str">
        <f ca="1">IF(ISBLANK(INDIRECT(ADDRESS(B44*2+2,3))),"",INDIRECT(ADDRESS(B44*2+2,3)))</f>
        <v>Гаркавый Вадим</v>
      </c>
      <c r="D44" s="111"/>
      <c r="E44" s="112"/>
      <c r="F44" s="24">
        <v>13</v>
      </c>
      <c r="G44" s="25">
        <v>12</v>
      </c>
      <c r="H44" s="113" t="str">
        <f ca="1">IF(ISBLANK(INDIRECT(ADDRESS(K44*2+2,3))),"",INDIRECT(ADDRESS(K44*2+2,3)))</f>
        <v>Попов Виктор</v>
      </c>
      <c r="I44" s="111"/>
      <c r="J44" s="111"/>
      <c r="K44" s="5">
        <v>7</v>
      </c>
      <c r="L44" s="27" t="s">
        <v>10</v>
      </c>
      <c r="M44" s="26"/>
    </row>
    <row r="45" spans="2:13" ht="30" customHeight="1" x14ac:dyDescent="0.25"/>
    <row r="46" spans="2:13" ht="30" customHeight="1" thickBot="1" x14ac:dyDescent="0.3">
      <c r="B46" s="114" t="s">
        <v>11</v>
      </c>
      <c r="C46" s="114"/>
      <c r="D46" s="114"/>
      <c r="E46" s="114"/>
      <c r="F46" s="114"/>
      <c r="G46" s="114"/>
      <c r="H46" s="114"/>
      <c r="I46" s="114"/>
      <c r="J46" s="114"/>
      <c r="K46" s="114"/>
    </row>
    <row r="47" spans="2:13" ht="30" customHeight="1" thickBot="1" x14ac:dyDescent="0.3">
      <c r="B47" s="5">
        <v>1</v>
      </c>
      <c r="C47" s="111" t="str">
        <f ca="1">IF(ISBLANK(INDIRECT(ADDRESS(B47*2+2,3))),"",INDIRECT(ADDRESS(B47*2+2,3)))</f>
        <v>Гедройц-Юраго Алексей</v>
      </c>
      <c r="D47" s="111"/>
      <c r="E47" s="112"/>
      <c r="F47" s="24">
        <v>13</v>
      </c>
      <c r="G47" s="25">
        <v>11</v>
      </c>
      <c r="H47" s="113" t="str">
        <f ca="1">IF(ISBLANK(INDIRECT(ADDRESS(K47*2+2,3))),"",INDIRECT(ADDRESS(K47*2+2,3)))</f>
        <v>Гаркавый Вадим</v>
      </c>
      <c r="I47" s="111"/>
      <c r="J47" s="111"/>
      <c r="K47" s="5">
        <v>6</v>
      </c>
      <c r="L47" s="27" t="s">
        <v>10</v>
      </c>
      <c r="M47" s="26"/>
    </row>
    <row r="48" spans="2:13" ht="30" customHeight="1" thickBot="1" x14ac:dyDescent="0.3">
      <c r="B48" s="5">
        <v>2</v>
      </c>
      <c r="C48" s="111" t="str">
        <f ca="1">IF(ISBLANK(INDIRECT(ADDRESS(B48*2+2,3))),"",INDIRECT(ADDRESS(B48*2+2,3)))</f>
        <v>Пелевин Андрей</v>
      </c>
      <c r="D48" s="111"/>
      <c r="E48" s="112"/>
      <c r="F48" s="24">
        <v>13</v>
      </c>
      <c r="G48" s="25">
        <v>4</v>
      </c>
      <c r="H48" s="113" t="str">
        <f ca="1">IF(ISBLANK(INDIRECT(ADDRESS(K48*2+2,3))),"",INDIRECT(ADDRESS(K48*2+2,3)))</f>
        <v>Горбунов Алексей</v>
      </c>
      <c r="I48" s="111"/>
      <c r="J48" s="111"/>
      <c r="K48" s="5">
        <v>5</v>
      </c>
      <c r="L48" s="27" t="s">
        <v>10</v>
      </c>
      <c r="M48" s="26"/>
    </row>
    <row r="49" spans="2:13" ht="30" customHeight="1" thickBot="1" x14ac:dyDescent="0.3">
      <c r="B49" s="5">
        <v>3</v>
      </c>
      <c r="C49" s="111" t="str">
        <f ca="1">IF(ISBLANK(INDIRECT(ADDRESS(B49*2+2,3))),"",INDIRECT(ADDRESS(B49*2+2,3)))</f>
        <v>Иванов Юрий</v>
      </c>
      <c r="D49" s="111"/>
      <c r="E49" s="112"/>
      <c r="F49" s="24">
        <v>13</v>
      </c>
      <c r="G49" s="25">
        <v>0</v>
      </c>
      <c r="H49" s="113" t="str">
        <f ca="1">IF(ISBLANK(INDIRECT(ADDRESS(K49*2+2,3))),"",INDIRECT(ADDRESS(K49*2+2,3)))</f>
        <v>Николаев Александр</v>
      </c>
      <c r="I49" s="111"/>
      <c r="J49" s="111"/>
      <c r="K49" s="5">
        <v>4</v>
      </c>
      <c r="L49" s="27" t="s">
        <v>10</v>
      </c>
      <c r="M49" s="26"/>
    </row>
    <row r="50" spans="2:13" ht="30" customHeight="1" x14ac:dyDescent="0.25"/>
    <row r="51" spans="2:13" ht="30" customHeight="1" thickBot="1" x14ac:dyDescent="0.3">
      <c r="B51" s="114" t="s">
        <v>12</v>
      </c>
      <c r="C51" s="114"/>
      <c r="D51" s="114"/>
      <c r="E51" s="114"/>
      <c r="F51" s="114"/>
      <c r="G51" s="114"/>
      <c r="H51" s="114"/>
      <c r="I51" s="114"/>
      <c r="J51" s="114"/>
      <c r="K51" s="114"/>
    </row>
    <row r="52" spans="2:13" ht="30" customHeight="1" thickBot="1" x14ac:dyDescent="0.3">
      <c r="B52" s="5">
        <v>5</v>
      </c>
      <c r="C52" s="111" t="str">
        <f ca="1">IF(ISBLANK(INDIRECT(ADDRESS(B52*2+2,3))),"",INDIRECT(ADDRESS(B52*2+2,3)))</f>
        <v>Горбунов Алексей</v>
      </c>
      <c r="D52" s="111"/>
      <c r="E52" s="112"/>
      <c r="F52" s="24">
        <v>12</v>
      </c>
      <c r="G52" s="25">
        <v>13</v>
      </c>
      <c r="H52" s="113" t="str">
        <f ca="1">IF(ISBLANK(INDIRECT(ADDRESS(K52*2+2,3))),"",INDIRECT(ADDRESS(K52*2+2,3)))</f>
        <v>Иванов Юрий</v>
      </c>
      <c r="I52" s="111"/>
      <c r="J52" s="111"/>
      <c r="K52" s="5">
        <v>3</v>
      </c>
      <c r="L52" s="27" t="s">
        <v>10</v>
      </c>
      <c r="M52" s="26"/>
    </row>
    <row r="53" spans="2:13" ht="30" customHeight="1" thickBot="1" x14ac:dyDescent="0.3">
      <c r="B53" s="5">
        <v>6</v>
      </c>
      <c r="C53" s="111" t="str">
        <f ca="1">IF(ISBLANK(INDIRECT(ADDRESS(B53*2+2,3))),"",INDIRECT(ADDRESS(B53*2+2,3)))</f>
        <v>Гаркавый Вадим</v>
      </c>
      <c r="D53" s="111"/>
      <c r="E53" s="112"/>
      <c r="F53" s="24">
        <v>9</v>
      </c>
      <c r="G53" s="25">
        <v>13</v>
      </c>
      <c r="H53" s="113" t="str">
        <f ca="1">IF(ISBLANK(INDIRECT(ADDRESS(K53*2+2,3))),"",INDIRECT(ADDRESS(K53*2+2,3)))</f>
        <v>Пелевин Андрей</v>
      </c>
      <c r="I53" s="111"/>
      <c r="J53" s="111"/>
      <c r="K53" s="5">
        <v>2</v>
      </c>
      <c r="L53" s="27" t="s">
        <v>10</v>
      </c>
      <c r="M53" s="26"/>
    </row>
    <row r="54" spans="2:13" ht="30" customHeight="1" thickBot="1" x14ac:dyDescent="0.3">
      <c r="B54" s="5">
        <v>7</v>
      </c>
      <c r="C54" s="111" t="str">
        <f ca="1">IF(ISBLANK(INDIRECT(ADDRESS(B54*2+2,3))),"",INDIRECT(ADDRESS(B54*2+2,3)))</f>
        <v>Попов Виктор</v>
      </c>
      <c r="D54" s="111"/>
      <c r="E54" s="112"/>
      <c r="F54" s="24">
        <v>13</v>
      </c>
      <c r="G54" s="25">
        <v>11</v>
      </c>
      <c r="H54" s="113" t="str">
        <f ca="1">IF(ISBLANK(INDIRECT(ADDRESS(K54*2+2,3))),"",INDIRECT(ADDRESS(K54*2+2,3)))</f>
        <v>Гедройц-Юраго Алексей</v>
      </c>
      <c r="I54" s="111"/>
      <c r="J54" s="111"/>
      <c r="K54" s="5">
        <v>1</v>
      </c>
      <c r="L54" s="27" t="s">
        <v>10</v>
      </c>
      <c r="M54" s="26"/>
    </row>
  </sheetData>
  <mergeCells count="79">
    <mergeCell ref="C53:E53"/>
    <mergeCell ref="H53:J53"/>
    <mergeCell ref="C54:E54"/>
    <mergeCell ref="H54:J54"/>
    <mergeCell ref="C48:E48"/>
    <mergeCell ref="H48:J48"/>
    <mergeCell ref="C49:E49"/>
    <mergeCell ref="H49:J49"/>
    <mergeCell ref="B51:K51"/>
    <mergeCell ref="C52:E52"/>
    <mergeCell ref="C38:E38"/>
    <mergeCell ref="H38:J38"/>
    <mergeCell ref="H52:J52"/>
    <mergeCell ref="C43:E43"/>
    <mergeCell ref="H43:J43"/>
    <mergeCell ref="C44:E44"/>
    <mergeCell ref="H44:J44"/>
    <mergeCell ref="B46:K46"/>
    <mergeCell ref="C47:E47"/>
    <mergeCell ref="H47:J47"/>
    <mergeCell ref="B41:K41"/>
    <mergeCell ref="C42:E42"/>
    <mergeCell ref="H42:J42"/>
    <mergeCell ref="C39:E39"/>
    <mergeCell ref="H39:J39"/>
    <mergeCell ref="C29:E29"/>
    <mergeCell ref="H29:J29"/>
    <mergeCell ref="B36:K36"/>
    <mergeCell ref="C37:E37"/>
    <mergeCell ref="H37:J37"/>
    <mergeCell ref="C34:E34"/>
    <mergeCell ref="H34:J34"/>
    <mergeCell ref="B31:K31"/>
    <mergeCell ref="C32:E32"/>
    <mergeCell ref="H32:J32"/>
    <mergeCell ref="C33:E33"/>
    <mergeCell ref="H33:J33"/>
    <mergeCell ref="C24:E24"/>
    <mergeCell ref="H24:J24"/>
    <mergeCell ref="B26:K26"/>
    <mergeCell ref="C28:E28"/>
    <mergeCell ref="H27:J27"/>
    <mergeCell ref="H28:J28"/>
    <mergeCell ref="C27:E27"/>
    <mergeCell ref="O14:O15"/>
    <mergeCell ref="B21:K21"/>
    <mergeCell ref="M16:M17"/>
    <mergeCell ref="O16:O17"/>
    <mergeCell ref="B16:B17"/>
    <mergeCell ref="C16:E17"/>
    <mergeCell ref="C23:E23"/>
    <mergeCell ref="H23:J23"/>
    <mergeCell ref="B14:B15"/>
    <mergeCell ref="C14:E15"/>
    <mergeCell ref="M14:M15"/>
    <mergeCell ref="C22:E22"/>
    <mergeCell ref="H22:J22"/>
    <mergeCell ref="B10:B11"/>
    <mergeCell ref="C10:E11"/>
    <mergeCell ref="M10:M11"/>
    <mergeCell ref="O10:O11"/>
    <mergeCell ref="B12:B13"/>
    <mergeCell ref="C12:E13"/>
    <mergeCell ref="M12:M13"/>
    <mergeCell ref="O12:O13"/>
    <mergeCell ref="B6:B7"/>
    <mergeCell ref="C6:E7"/>
    <mergeCell ref="M6:M7"/>
    <mergeCell ref="O6:O7"/>
    <mergeCell ref="B8:B9"/>
    <mergeCell ref="C8:E9"/>
    <mergeCell ref="M8:M9"/>
    <mergeCell ref="O8:O9"/>
    <mergeCell ref="O4:O5"/>
    <mergeCell ref="B1:K1"/>
    <mergeCell ref="C3:E3"/>
    <mergeCell ref="B4:B5"/>
    <mergeCell ref="C4:E5"/>
    <mergeCell ref="M4:M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5" workbookViewId="0">
      <selection activeCell="G11" sqref="G11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9" ht="59.25" customHeight="1" x14ac:dyDescent="0.25">
      <c r="B1" s="90" t="s">
        <v>29</v>
      </c>
      <c r="C1" s="90"/>
      <c r="D1" s="90"/>
      <c r="E1" s="90"/>
      <c r="F1" s="90"/>
      <c r="G1" s="90"/>
      <c r="H1" s="90"/>
      <c r="I1" s="90"/>
      <c r="J1" s="90"/>
      <c r="K1" s="90"/>
      <c r="L1" t="s">
        <v>21</v>
      </c>
      <c r="M1"/>
      <c r="N1" s="46">
        <v>45669</v>
      </c>
    </row>
    <row r="2" spans="2:19" ht="15.75" thickBot="1" x14ac:dyDescent="0.3">
      <c r="M2"/>
    </row>
    <row r="3" spans="2:19" ht="30" customHeight="1" thickBot="1" x14ac:dyDescent="0.3">
      <c r="B3" s="47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1">
        <v>7</v>
      </c>
      <c r="M3" s="3" t="s">
        <v>1</v>
      </c>
      <c r="N3" s="1" t="s">
        <v>3</v>
      </c>
      <c r="O3" s="4" t="s">
        <v>2</v>
      </c>
    </row>
    <row r="4" spans="2:19" ht="24" customHeight="1" x14ac:dyDescent="0.25">
      <c r="B4" s="94">
        <v>1</v>
      </c>
      <c r="C4" s="96" t="s">
        <v>22</v>
      </c>
      <c r="D4" s="97"/>
      <c r="E4" s="98"/>
      <c r="F4" s="10"/>
      <c r="G4" s="6" t="str">
        <f ca="1">INDIRECT(ADDRESS(29,6))&amp;":"&amp;INDIRECT(ADDRESS(29,7))</f>
        <v>13:4</v>
      </c>
      <c r="H4" s="6" t="str">
        <f ca="1">INDIRECT(ADDRESS(32,7))&amp;":"&amp;INDIRECT(ADDRESS(32,6))</f>
        <v>11:13</v>
      </c>
      <c r="I4" s="6" t="str">
        <f ca="1">INDIRECT(ADDRESS(38,6))&amp;":"&amp;INDIRECT(ADDRESS(38,7))</f>
        <v>6:13</v>
      </c>
      <c r="J4" s="6" t="str">
        <f ca="1">INDIRECT(ADDRESS(43,7))&amp;":"&amp;INDIRECT(ADDRESS(43,6))</f>
        <v>5:13</v>
      </c>
      <c r="K4" s="33" t="str">
        <f ca="1">INDIRECT(ADDRESS(47,6))&amp;":"&amp;INDIRECT(ADDRESS(47,7))</f>
        <v>3:13</v>
      </c>
      <c r="L4" s="20" t="str">
        <f ca="1">INDIRECT(ADDRESS(54,7))&amp;":"&amp;INDIRECT(ADDRESS(54,6))</f>
        <v>13:12</v>
      </c>
      <c r="M4" s="102">
        <f ca="1">IF(COUNT(F5:L5)=0,"",COUNTIF(F5:L5,"&gt;0")+0.5*COUNTIF(F5:L5,0))</f>
        <v>2</v>
      </c>
      <c r="N4" s="23"/>
      <c r="O4" s="88">
        <v>5</v>
      </c>
    </row>
    <row r="5" spans="2:19" ht="24" customHeight="1" x14ac:dyDescent="0.25">
      <c r="B5" s="95"/>
      <c r="C5" s="99"/>
      <c r="D5" s="100"/>
      <c r="E5" s="101"/>
      <c r="F5" s="13"/>
      <c r="G5" s="16">
        <f ca="1">IF(LEN(INDIRECT(ADDRESS(ROW()-1, COLUMN())))=1,"",INDIRECT(ADDRESS(29,6))-INDIRECT(ADDRESS(29,7)))</f>
        <v>9</v>
      </c>
      <c r="H5" s="16">
        <f ca="1">IF(LEN(INDIRECT(ADDRESS(ROW()-1, COLUMN())))=1,"",INDIRECT(ADDRESS(32,7))-INDIRECT(ADDRESS(32,6)))</f>
        <v>-2</v>
      </c>
      <c r="I5" s="16">
        <f ca="1">IF(LEN(INDIRECT(ADDRESS(ROW()-1, COLUMN())))=1,"",INDIRECT(ADDRESS(38,6))-INDIRECT(ADDRESS(38,7)))</f>
        <v>-7</v>
      </c>
      <c r="J5" s="16">
        <f ca="1">IF(LEN(INDIRECT(ADDRESS(ROW()-1, COLUMN())))=1,"",INDIRECT(ADDRESS(43,7))-INDIRECT(ADDRESS(43,6)))</f>
        <v>-8</v>
      </c>
      <c r="K5" s="34">
        <f ca="1">IF(LEN(INDIRECT(ADDRESS(ROW()-1, COLUMN())))=1,"",INDIRECT(ADDRESS(47,6))-INDIRECT(ADDRESS(47,7)))</f>
        <v>-10</v>
      </c>
      <c r="L5" s="17">
        <f ca="1">IF(LEN(INDIRECT(ADDRESS(ROW()-1, COLUMN())))=1,"",INDIRECT(ADDRESS(54,7))-INDIRECT(ADDRESS(54,6)))</f>
        <v>1</v>
      </c>
      <c r="M5" s="103"/>
      <c r="N5" s="16">
        <f ca="1">IF(COUNT(F5:L5)=0,"",SUM(F5:L5))</f>
        <v>-17</v>
      </c>
      <c r="O5" s="89"/>
    </row>
    <row r="6" spans="2:19" ht="24" customHeight="1" x14ac:dyDescent="0.25">
      <c r="B6" s="104">
        <v>2</v>
      </c>
      <c r="C6" s="105" t="s">
        <v>23</v>
      </c>
      <c r="D6" s="106"/>
      <c r="E6" s="107"/>
      <c r="F6" s="12" t="str">
        <f ca="1">INDIRECT(ADDRESS(29,7))&amp;":"&amp;INDIRECT(ADDRESS(29,6))</f>
        <v>4:13</v>
      </c>
      <c r="G6" s="8"/>
      <c r="H6" s="7" t="str">
        <f ca="1">INDIRECT(ADDRESS(39,6))&amp;":"&amp;INDIRECT(ADDRESS(39,7))</f>
        <v>13:3</v>
      </c>
      <c r="I6" s="7" t="str">
        <f ca="1">INDIRECT(ADDRESS(42,7))&amp;":"&amp;INDIRECT(ADDRESS(42,6))</f>
        <v>13:3</v>
      </c>
      <c r="J6" s="7" t="str">
        <f ca="1">INDIRECT(ADDRESS(48,6))&amp;":"&amp;INDIRECT(ADDRESS(48,7))</f>
        <v>13:11</v>
      </c>
      <c r="K6" s="35" t="str">
        <f ca="1">INDIRECT(ADDRESS(53,7))&amp;":"&amp;INDIRECT(ADDRESS(53,6))</f>
        <v>13:6</v>
      </c>
      <c r="L6" s="11" t="str">
        <f ca="1">INDIRECT(ADDRESS(22,6))&amp;":"&amp;INDIRECT(ADDRESS(22,7))</f>
        <v>13:9</v>
      </c>
      <c r="M6" s="103">
        <f ca="1">IF(COUNT(F7:L7)=0,"",COUNTIF(F7:L7,"&gt;0")+0.5*COUNTIF(F7:L7,0))</f>
        <v>5</v>
      </c>
      <c r="N6" s="16"/>
      <c r="O6" s="108">
        <v>1</v>
      </c>
    </row>
    <row r="7" spans="2:19" ht="24" customHeight="1" x14ac:dyDescent="0.25">
      <c r="B7" s="95"/>
      <c r="C7" s="105"/>
      <c r="D7" s="106"/>
      <c r="E7" s="107"/>
      <c r="F7" s="22">
        <f ca="1">IF(LEN(INDIRECT(ADDRESS(ROW()-1, COLUMN())))=1,"",INDIRECT(ADDRESS(29,7))-INDIRECT(ADDRESS(29,6)))</f>
        <v>-9</v>
      </c>
      <c r="G7" s="14"/>
      <c r="H7" s="16">
        <f ca="1">IF(LEN(INDIRECT(ADDRESS(ROW()-1, COLUMN())))=1,"",INDIRECT(ADDRESS(39,6))-INDIRECT(ADDRESS(39,7)))</f>
        <v>10</v>
      </c>
      <c r="I7" s="16">
        <f ca="1">IF(LEN(INDIRECT(ADDRESS(ROW()-1, COLUMN())))=1,"",INDIRECT(ADDRESS(42,7))-INDIRECT(ADDRESS(42,6)))</f>
        <v>10</v>
      </c>
      <c r="J7" s="16">
        <f ca="1">IF(LEN(INDIRECT(ADDRESS(ROW()-1, COLUMN())))=1,"",INDIRECT(ADDRESS(48,6))-INDIRECT(ADDRESS(48,7)))</f>
        <v>2</v>
      </c>
      <c r="K7" s="34">
        <f ca="1">IF(LEN(INDIRECT(ADDRESS(ROW()-1, COLUMN())))=1,"",INDIRECT(ADDRESS(53,7))-INDIRECT(ADDRESS(53,6)))</f>
        <v>7</v>
      </c>
      <c r="L7" s="17">
        <f ca="1">IF(LEN(INDIRECT(ADDRESS(ROW()-1, COLUMN())))=1,"",INDIRECT(ADDRESS(22,6))-INDIRECT(ADDRESS(22,7)))</f>
        <v>4</v>
      </c>
      <c r="M7" s="103"/>
      <c r="N7" s="16">
        <f ca="1">IF(COUNT(F7:L7)=0,"",SUM(F7:L7))</f>
        <v>24</v>
      </c>
      <c r="O7" s="109"/>
      <c r="S7" s="43"/>
    </row>
    <row r="8" spans="2:19" ht="24" customHeight="1" x14ac:dyDescent="0.25">
      <c r="B8" s="104">
        <v>3</v>
      </c>
      <c r="C8" s="126" t="s">
        <v>24</v>
      </c>
      <c r="D8" s="127"/>
      <c r="E8" s="128"/>
      <c r="F8" s="12" t="str">
        <f ca="1">INDIRECT(ADDRESS(32,6))&amp;":"&amp;INDIRECT(ADDRESS(32,7))</f>
        <v>13:11</v>
      </c>
      <c r="G8" s="7" t="str">
        <f ca="1">INDIRECT(ADDRESS(39,7))&amp;":"&amp;INDIRECT(ADDRESS(39,6))</f>
        <v>3:13</v>
      </c>
      <c r="H8" s="8"/>
      <c r="I8" s="7" t="str">
        <f ca="1">INDIRECT(ADDRESS(49,6))&amp;":"&amp;INDIRECT(ADDRESS(49,7))</f>
        <v>13:8</v>
      </c>
      <c r="J8" s="7" t="str">
        <f ca="1">INDIRECT(ADDRESS(52,7))&amp;":"&amp;INDIRECT(ADDRESS(52,6))</f>
        <v>13:11</v>
      </c>
      <c r="K8" s="35" t="str">
        <f ca="1">INDIRECT(ADDRESS(23,6))&amp;":"&amp;INDIRECT(ADDRESS(23,7))</f>
        <v>8:12</v>
      </c>
      <c r="L8" s="11" t="str">
        <f ca="1">INDIRECT(ADDRESS(28,7))&amp;":"&amp;INDIRECT(ADDRESS(28,6))</f>
        <v>13:10</v>
      </c>
      <c r="M8" s="103">
        <f ca="1">IF(COUNT(F9:L9)=0,"",COUNTIF(F9:L9,"&gt;0")+0.5*COUNTIF(F9:L9,0))</f>
        <v>4</v>
      </c>
      <c r="N8" s="16"/>
      <c r="O8" s="129">
        <v>3</v>
      </c>
    </row>
    <row r="9" spans="2:19" ht="24" customHeight="1" x14ac:dyDescent="0.25">
      <c r="B9" s="95"/>
      <c r="C9" s="126"/>
      <c r="D9" s="127"/>
      <c r="E9" s="128"/>
      <c r="F9" s="22">
        <f ca="1">IF(LEN(INDIRECT(ADDRESS(ROW()-1, COLUMN())))=1,"",INDIRECT(ADDRESS(32,6))-INDIRECT(ADDRESS(32,7)))</f>
        <v>2</v>
      </c>
      <c r="G9" s="16">
        <f ca="1">IF(LEN(INDIRECT(ADDRESS(ROW()-1, COLUMN())))=1,"",INDIRECT(ADDRESS(39,7))-INDIRECT(ADDRESS(39,6)))</f>
        <v>-10</v>
      </c>
      <c r="H9" s="14"/>
      <c r="I9" s="16">
        <f ca="1">IF(LEN(INDIRECT(ADDRESS(ROW()-1, COLUMN())))=1,"",INDIRECT(ADDRESS(49,6))-INDIRECT(ADDRESS(49,7)))</f>
        <v>5</v>
      </c>
      <c r="J9" s="16">
        <f ca="1">IF(LEN(INDIRECT(ADDRESS(ROW()-1, COLUMN())))=1,"",INDIRECT(ADDRESS(52,7))-INDIRECT(ADDRESS(52,6)))</f>
        <v>2</v>
      </c>
      <c r="K9" s="34">
        <f ca="1">IF(LEN(INDIRECT(ADDRESS(ROW()-1, COLUMN())))=1,"",INDIRECT(ADDRESS(23,6))-INDIRECT(ADDRESS(23,7)))</f>
        <v>-4</v>
      </c>
      <c r="L9" s="17">
        <f ca="1">IF(LEN(INDIRECT(ADDRESS(ROW()-1, COLUMN())))=1,"",INDIRECT(ADDRESS(28,7))-INDIRECT(ADDRESS(28,6)))</f>
        <v>3</v>
      </c>
      <c r="M9" s="103"/>
      <c r="N9" s="16">
        <f ca="1">IF(COUNT(F9:L9)=0,"",SUM(F9:L9))</f>
        <v>-2</v>
      </c>
      <c r="O9" s="130"/>
    </row>
    <row r="10" spans="2:19" ht="24" customHeight="1" x14ac:dyDescent="0.25">
      <c r="B10" s="104">
        <v>4</v>
      </c>
      <c r="C10" s="99" t="s">
        <v>25</v>
      </c>
      <c r="D10" s="100"/>
      <c r="E10" s="101"/>
      <c r="F10" s="12" t="str">
        <f ca="1">INDIRECT(ADDRESS(38,7))&amp;":"&amp;INDIRECT(ADDRESS(38,6))</f>
        <v>13:6</v>
      </c>
      <c r="G10" s="7" t="str">
        <f ca="1">INDIRECT(ADDRESS(42,6))&amp;":"&amp;INDIRECT(ADDRESS(42,7))</f>
        <v>3:13</v>
      </c>
      <c r="H10" s="7" t="str">
        <f ca="1">INDIRECT(ADDRESS(49,7))&amp;":"&amp;INDIRECT(ADDRESS(49,6))</f>
        <v>8:13</v>
      </c>
      <c r="I10" s="8"/>
      <c r="J10" s="7" t="str">
        <f ca="1">INDIRECT(ADDRESS(24,6))&amp;":"&amp;INDIRECT(ADDRESS(24,7))</f>
        <v>10:13</v>
      </c>
      <c r="K10" s="35" t="str">
        <f ca="1">INDIRECT(ADDRESS(27,7))&amp;":"&amp;INDIRECT(ADDRESS(27,6))</f>
        <v>2:13</v>
      </c>
      <c r="L10" s="11" t="str">
        <f ca="1">INDIRECT(ADDRESS(33,6))&amp;":"&amp;INDIRECT(ADDRESS(33,7))</f>
        <v>7:13</v>
      </c>
      <c r="M10" s="103">
        <f ca="1">IF(COUNT(F11:L11)=0,"",COUNTIF(F11:L11,"&gt;0")+0.5*COUNTIF(F11:L11,0))</f>
        <v>1</v>
      </c>
      <c r="N10" s="16"/>
      <c r="O10" s="110">
        <v>7</v>
      </c>
    </row>
    <row r="11" spans="2:19" ht="24" customHeight="1" x14ac:dyDescent="0.25">
      <c r="B11" s="95"/>
      <c r="C11" s="99"/>
      <c r="D11" s="100"/>
      <c r="E11" s="101"/>
      <c r="F11" s="22">
        <f ca="1">IF(LEN(INDIRECT(ADDRESS(ROW()-1, COLUMN())))=1,"",INDIRECT(ADDRESS(38,7))-INDIRECT(ADDRESS(38,6)))</f>
        <v>7</v>
      </c>
      <c r="G11" s="16">
        <f ca="1">IF(LEN(INDIRECT(ADDRESS(ROW()-1, COLUMN())))=1,"",INDIRECT(ADDRESS(42,6))-INDIRECT(ADDRESS(42,7)))</f>
        <v>-10</v>
      </c>
      <c r="H11" s="16">
        <f ca="1">IF(LEN(INDIRECT(ADDRESS(ROW()-1, COLUMN())))=1,"",INDIRECT(ADDRESS(49,7))-INDIRECT(ADDRESS(49,6)))</f>
        <v>-5</v>
      </c>
      <c r="I11" s="14"/>
      <c r="J11" s="16">
        <f ca="1">IF(LEN(INDIRECT(ADDRESS(ROW()-1, COLUMN())))=1,"",INDIRECT(ADDRESS(24,6))-INDIRECT(ADDRESS(24,7)))</f>
        <v>-3</v>
      </c>
      <c r="K11" s="34">
        <f ca="1">IF(LEN(INDIRECT(ADDRESS(ROW()-1, COLUMN())))=1,"",INDIRECT(ADDRESS(27,7))-INDIRECT(ADDRESS(27,6)))</f>
        <v>-11</v>
      </c>
      <c r="L11" s="17">
        <f ca="1">IF(LEN(INDIRECT(ADDRESS(ROW()-1, COLUMN())))=1,"",INDIRECT(ADDRESS(33,6))-INDIRECT(ADDRESS(33,7)))</f>
        <v>-6</v>
      </c>
      <c r="M11" s="103"/>
      <c r="N11" s="16">
        <f ca="1">IF(COUNT(F11:L11)=0,"",SUM(F11:L11))</f>
        <v>-28</v>
      </c>
      <c r="O11" s="89"/>
    </row>
    <row r="12" spans="2:19" ht="24" customHeight="1" x14ac:dyDescent="0.25">
      <c r="B12" s="104">
        <v>5</v>
      </c>
      <c r="C12" s="99" t="s">
        <v>26</v>
      </c>
      <c r="D12" s="100"/>
      <c r="E12" s="101"/>
      <c r="F12" s="12" t="str">
        <f ca="1">INDIRECT(ADDRESS(43,6))&amp;":"&amp;INDIRECT(ADDRESS(43,7))</f>
        <v>13:5</v>
      </c>
      <c r="G12" s="7" t="str">
        <f ca="1">INDIRECT(ADDRESS(48,7))&amp;":"&amp;INDIRECT(ADDRESS(48,6))</f>
        <v>11:13</v>
      </c>
      <c r="H12" s="7" t="str">
        <f ca="1">INDIRECT(ADDRESS(52,6))&amp;":"&amp;INDIRECT(ADDRESS(52,7))</f>
        <v>11:13</v>
      </c>
      <c r="I12" s="7" t="str">
        <f ca="1">INDIRECT(ADDRESS(24,7))&amp;":"&amp;INDIRECT(ADDRESS(24,6))</f>
        <v>13:10</v>
      </c>
      <c r="J12" s="8"/>
      <c r="K12" s="35" t="str">
        <f ca="1">INDIRECT(ADDRESS(34,6))&amp;":"&amp;INDIRECT(ADDRESS(34,7))</f>
        <v>6:13</v>
      </c>
      <c r="L12" s="11" t="str">
        <f ca="1">INDIRECT(ADDRESS(37,7))&amp;":"&amp;INDIRECT(ADDRESS(37,6))</f>
        <v>13:12</v>
      </c>
      <c r="M12" s="103">
        <f ca="1">IF(COUNT(F13:L13)=0,"",COUNTIF(F13:L13,"&gt;0")+0.5*COUNTIF(F13:L13,0))</f>
        <v>3</v>
      </c>
      <c r="N12" s="16"/>
      <c r="O12" s="110">
        <v>4</v>
      </c>
    </row>
    <row r="13" spans="2:19" ht="24" customHeight="1" x14ac:dyDescent="0.25">
      <c r="B13" s="95"/>
      <c r="C13" s="99"/>
      <c r="D13" s="100"/>
      <c r="E13" s="101"/>
      <c r="F13" s="22">
        <f ca="1">IF(LEN(INDIRECT(ADDRESS(ROW()-1, COLUMN())))=1,"",INDIRECT(ADDRESS(43,6))-INDIRECT(ADDRESS(43,7)))</f>
        <v>8</v>
      </c>
      <c r="G13" s="16">
        <f ca="1">IF(LEN(INDIRECT(ADDRESS(ROW()-1, COLUMN())))=1,"",INDIRECT(ADDRESS(48,7))-INDIRECT(ADDRESS(48,6)))</f>
        <v>-2</v>
      </c>
      <c r="H13" s="16">
        <f ca="1">IF(LEN(INDIRECT(ADDRESS(ROW()-1, COLUMN())))=1,"",INDIRECT(ADDRESS(52,6))-INDIRECT(ADDRESS(52,7)))</f>
        <v>-2</v>
      </c>
      <c r="I13" s="16">
        <f ca="1">IF(LEN(INDIRECT(ADDRESS(ROW()-1, COLUMN())))=1,"",INDIRECT(ADDRESS(24,7))-INDIRECT(ADDRESS(24,6)))</f>
        <v>3</v>
      </c>
      <c r="J13" s="14"/>
      <c r="K13" s="34">
        <f ca="1">IF(LEN(INDIRECT(ADDRESS(ROW()-1, COLUMN())))=1,"",INDIRECT(ADDRESS(34,6))-INDIRECT(ADDRESS(34,7)))</f>
        <v>-7</v>
      </c>
      <c r="L13" s="17">
        <f ca="1">IF(LEN(INDIRECT(ADDRESS(ROW()-1, COLUMN())))=1,"",INDIRECT(ADDRESS(37,7))-INDIRECT(ADDRESS(37,6)))</f>
        <v>1</v>
      </c>
      <c r="M13" s="103"/>
      <c r="N13" s="16">
        <f ca="1">IF(COUNT(F13:L13)=0,"",SUM(F13:L13))</f>
        <v>1</v>
      </c>
      <c r="O13" s="89"/>
    </row>
    <row r="14" spans="2:19" ht="24" customHeight="1" x14ac:dyDescent="0.25">
      <c r="B14" s="104">
        <v>6</v>
      </c>
      <c r="C14" s="105" t="s">
        <v>27</v>
      </c>
      <c r="D14" s="106"/>
      <c r="E14" s="107"/>
      <c r="F14" s="12" t="str">
        <f ca="1">INDIRECT(ADDRESS(47,7))&amp;":"&amp;INDIRECT(ADDRESS(47,6))</f>
        <v>13:3</v>
      </c>
      <c r="G14" s="7" t="str">
        <f ca="1">INDIRECT(ADDRESS(53,6))&amp;":"&amp;INDIRECT(ADDRESS(53,7))</f>
        <v>6:13</v>
      </c>
      <c r="H14" s="7" t="str">
        <f ca="1">INDIRECT(ADDRESS(23,7))&amp;":"&amp;INDIRECT(ADDRESS(23,6))</f>
        <v>12:8</v>
      </c>
      <c r="I14" s="7" t="str">
        <f ca="1">INDIRECT(ADDRESS(27,6))&amp;":"&amp;INDIRECT(ADDRESS(27,7))</f>
        <v>13:2</v>
      </c>
      <c r="J14" s="7" t="str">
        <f ca="1">INDIRECT(ADDRESS(34,7))&amp;":"&amp;INDIRECT(ADDRESS(34,6))</f>
        <v>13:6</v>
      </c>
      <c r="K14" s="36"/>
      <c r="L14" s="40" t="str">
        <f ca="1">INDIRECT(ADDRESS(44,6))&amp;":"&amp;INDIRECT(ADDRESS(44,7))</f>
        <v>13:4</v>
      </c>
      <c r="M14" s="103">
        <f ca="1">IF(COUNT(F15:L15)=0,"",COUNTIF(F15:L15,"&gt;0")+0.5*COUNTIF(F15:L15,0))</f>
        <v>5</v>
      </c>
      <c r="N14" s="16"/>
      <c r="O14" s="131">
        <v>2</v>
      </c>
    </row>
    <row r="15" spans="2:19" ht="24" customHeight="1" x14ac:dyDescent="0.25">
      <c r="B15" s="95"/>
      <c r="C15" s="105"/>
      <c r="D15" s="106"/>
      <c r="E15" s="107"/>
      <c r="F15" s="22">
        <f ca="1">IF(LEN(INDIRECT(ADDRESS(ROW()-1, COLUMN())))=1,"",INDIRECT(ADDRESS(47,7))-INDIRECT(ADDRESS(47,6)))</f>
        <v>10</v>
      </c>
      <c r="G15" s="16">
        <f ca="1">IF(LEN(INDIRECT(ADDRESS(ROW()-1, COLUMN())))=1,"",INDIRECT(ADDRESS(53,6))-INDIRECT(ADDRESS(53,7)))</f>
        <v>-7</v>
      </c>
      <c r="H15" s="16">
        <f ca="1">IF(LEN(INDIRECT(ADDRESS(ROW()-1, COLUMN())))=1,"",INDIRECT(ADDRESS(23,7))-INDIRECT(ADDRESS(23,6)))</f>
        <v>4</v>
      </c>
      <c r="I15" s="16">
        <f ca="1">IF(LEN(INDIRECT(ADDRESS(ROW()-1, COLUMN())))=1,"",INDIRECT(ADDRESS(27,6))-INDIRECT(ADDRESS(27,7)))</f>
        <v>11</v>
      </c>
      <c r="J15" s="16">
        <f ca="1">IF(LEN(INDIRECT(ADDRESS(ROW()-1, COLUMN())))=1,"",INDIRECT(ADDRESS(34,7))-INDIRECT(ADDRESS(34,6)))</f>
        <v>7</v>
      </c>
      <c r="K15" s="37"/>
      <c r="L15" s="41">
        <f ca="1">IF(LEN(INDIRECT(ADDRESS(ROW()-1, COLUMN())))=1,"",INDIRECT(ADDRESS(44,6))-INDIRECT(ADDRESS(44,7)))</f>
        <v>9</v>
      </c>
      <c r="M15" s="103"/>
      <c r="N15" s="16">
        <f ca="1">IF(COUNT(F15:L15)=0,"",SUM(F15:L15))</f>
        <v>34</v>
      </c>
      <c r="O15" s="132"/>
    </row>
    <row r="16" spans="2:19" ht="24" customHeight="1" x14ac:dyDescent="0.25">
      <c r="B16" s="118">
        <v>7</v>
      </c>
      <c r="C16" s="133" t="s">
        <v>28</v>
      </c>
      <c r="D16" s="134"/>
      <c r="E16" s="135"/>
      <c r="F16" s="29" t="str">
        <f ca="1">INDIRECT(ADDRESS(54,6))&amp;":"&amp;INDIRECT(ADDRESS(54,7))</f>
        <v>12:13</v>
      </c>
      <c r="G16" s="30" t="str">
        <f ca="1">INDIRECT(ADDRESS(22,7))&amp;":"&amp;INDIRECT(ADDRESS(22,6))</f>
        <v>9:13</v>
      </c>
      <c r="H16" s="30" t="str">
        <f ca="1">INDIRECT(ADDRESS(28,6))&amp;":"&amp;INDIRECT(ADDRESS(28,7))</f>
        <v>10:13</v>
      </c>
      <c r="I16" s="30" t="str">
        <f ca="1">INDIRECT(ADDRESS(33,7))&amp;":"&amp;INDIRECT(ADDRESS(33,6))</f>
        <v>13:7</v>
      </c>
      <c r="J16" s="30" t="str">
        <f ca="1">INDIRECT(ADDRESS(37,6))&amp;":"&amp;INDIRECT(ADDRESS(37,7))</f>
        <v>12:13</v>
      </c>
      <c r="K16" s="38" t="str">
        <f ca="1">INDIRECT(ADDRESS(44,7))&amp;":"&amp;INDIRECT(ADDRESS(44,6))</f>
        <v>4:13</v>
      </c>
      <c r="L16" s="31"/>
      <c r="M16" s="103">
        <f ca="1">IF(COUNT(F17:L17)=0,"",COUNTIF(F17:L17,"&gt;0")+0.5*COUNTIF(F17:L17,0))</f>
        <v>1</v>
      </c>
      <c r="N16" s="32"/>
      <c r="O16" s="139">
        <v>6</v>
      </c>
    </row>
    <row r="17" spans="2:15" ht="24" customHeight="1" thickBot="1" x14ac:dyDescent="0.3">
      <c r="B17" s="119"/>
      <c r="C17" s="136"/>
      <c r="D17" s="137"/>
      <c r="E17" s="138"/>
      <c r="F17" s="19">
        <f ca="1">IF(LEN(INDIRECT(ADDRESS(ROW()-1, COLUMN())))=1,"",INDIRECT(ADDRESS(54,6))-INDIRECT(ADDRESS(54,7)))</f>
        <v>-1</v>
      </c>
      <c r="G17" s="18">
        <f ca="1">IF(LEN(INDIRECT(ADDRESS(ROW()-1, COLUMN())))=1,"",INDIRECT(ADDRESS(22,7))-INDIRECT(ADDRESS(22,6)))</f>
        <v>-4</v>
      </c>
      <c r="H17" s="18">
        <f ca="1">IF(LEN(INDIRECT(ADDRESS(ROW()-1, COLUMN())))=1,"",INDIRECT(ADDRESS(28,6))-INDIRECT(ADDRESS(28,7)))</f>
        <v>-3</v>
      </c>
      <c r="I17" s="18">
        <f ca="1">IF(LEN(INDIRECT(ADDRESS(ROW()-1, COLUMN())))=1,"",INDIRECT(ADDRESS(33,7))-INDIRECT(ADDRESS(33,6)))</f>
        <v>6</v>
      </c>
      <c r="J17" s="18">
        <f ca="1">IF(LEN(INDIRECT(ADDRESS(ROW()-1, COLUMN())))=1,"",INDIRECT(ADDRESS(37,6))-INDIRECT(ADDRESS(37,7)))</f>
        <v>-1</v>
      </c>
      <c r="K17" s="39">
        <f ca="1">IF(LEN(INDIRECT(ADDRESS(ROW()-1, COLUMN())))=1,"",INDIRECT(ADDRESS(44,7))-INDIRECT(ADDRESS(44,6)))</f>
        <v>-9</v>
      </c>
      <c r="L17" s="15"/>
      <c r="M17" s="115"/>
      <c r="N17" s="18">
        <f ca="1">IF(COUNT(F17:L17)=0,"",SUM(F17:L17))</f>
        <v>-12</v>
      </c>
      <c r="O17" s="140"/>
    </row>
    <row r="18" spans="2:15" x14ac:dyDescent="0.25">
      <c r="M18"/>
    </row>
    <row r="19" spans="2:15" x14ac:dyDescent="0.25">
      <c r="M19"/>
    </row>
    <row r="20" spans="2:15" x14ac:dyDescent="0.25">
      <c r="M20"/>
    </row>
    <row r="21" spans="2:15" ht="30" customHeight="1" thickBot="1" x14ac:dyDescent="0.3">
      <c r="B21" s="114" t="s">
        <v>4</v>
      </c>
      <c r="C21" s="114"/>
      <c r="D21" s="114"/>
      <c r="E21" s="114"/>
      <c r="F21" s="114"/>
      <c r="G21" s="114"/>
      <c r="H21" s="114"/>
      <c r="I21" s="114"/>
      <c r="J21" s="114"/>
      <c r="K21" s="114"/>
      <c r="M21"/>
    </row>
    <row r="22" spans="2:15" ht="30" customHeight="1" thickBot="1" x14ac:dyDescent="0.3">
      <c r="B22" s="5">
        <v>2</v>
      </c>
      <c r="C22" s="111" t="str">
        <f ca="1">IF(ISBLANK(INDIRECT(ADDRESS(B22*2+2,3))),"",INDIRECT(ADDRESS(B22*2+2,3)))</f>
        <v>Большаков Василий</v>
      </c>
      <c r="D22" s="111"/>
      <c r="E22" s="112"/>
      <c r="F22" s="24">
        <v>13</v>
      </c>
      <c r="G22" s="25">
        <v>9</v>
      </c>
      <c r="H22" s="113" t="str">
        <f ca="1">IF(ISBLANK(INDIRECT(ADDRESS(K22*2+2,3))),"",INDIRECT(ADDRESS(K22*2+2,3)))</f>
        <v>Зимин Михаил</v>
      </c>
      <c r="I22" s="111"/>
      <c r="J22" s="111"/>
      <c r="K22" s="5">
        <v>7</v>
      </c>
      <c r="L22" s="27" t="s">
        <v>10</v>
      </c>
      <c r="M22" s="26"/>
    </row>
    <row r="23" spans="2:15" ht="30" customHeight="1" thickBot="1" x14ac:dyDescent="0.3">
      <c r="B23" s="5">
        <v>3</v>
      </c>
      <c r="C23" s="111" t="str">
        <f ca="1">IF(ISBLANK(INDIRECT(ADDRESS(B23*2+2,3))),"",INDIRECT(ADDRESS(B23*2+2,3)))</f>
        <v>Зинкеев Георгий*</v>
      </c>
      <c r="D23" s="111"/>
      <c r="E23" s="112"/>
      <c r="F23" s="24">
        <v>8</v>
      </c>
      <c r="G23" s="25">
        <v>12</v>
      </c>
      <c r="H23" s="113" t="str">
        <f ca="1">IF(ISBLANK(INDIRECT(ADDRESS(K23*2+2,3))),"",INDIRECT(ADDRESS(K23*2+2,3)))</f>
        <v>Елсаков Сергей</v>
      </c>
      <c r="I23" s="111"/>
      <c r="J23" s="111"/>
      <c r="K23" s="5">
        <v>6</v>
      </c>
      <c r="L23" s="27" t="s">
        <v>10</v>
      </c>
      <c r="M23" s="26"/>
    </row>
    <row r="24" spans="2:15" ht="30" customHeight="1" thickBot="1" x14ac:dyDescent="0.3">
      <c r="B24" s="5">
        <v>4</v>
      </c>
      <c r="C24" s="111" t="str">
        <f ca="1">IF(ISBLANK(INDIRECT(ADDRESS(B24*2+2,3))),"",INDIRECT(ADDRESS(B24*2+2,3)))</f>
        <v>Пономаренко Юрий</v>
      </c>
      <c r="D24" s="111"/>
      <c r="E24" s="112"/>
      <c r="F24" s="24">
        <v>10</v>
      </c>
      <c r="G24" s="25">
        <v>13</v>
      </c>
      <c r="H24" s="113" t="str">
        <f ca="1">IF(ISBLANK(INDIRECT(ADDRESS(K24*2+2,3))),"",INDIRECT(ADDRESS(K24*2+2,3)))</f>
        <v>Новиков Андрей</v>
      </c>
      <c r="I24" s="111"/>
      <c r="J24" s="111"/>
      <c r="K24" s="5">
        <v>5</v>
      </c>
      <c r="L24" s="27" t="s">
        <v>10</v>
      </c>
      <c r="M24" s="26"/>
    </row>
    <row r="25" spans="2:15" ht="30" customHeight="1" x14ac:dyDescent="0.25"/>
    <row r="26" spans="2:15" ht="30" customHeight="1" thickBot="1" x14ac:dyDescent="0.3">
      <c r="B26" s="114" t="s">
        <v>5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2:15" ht="30" customHeight="1" thickBot="1" x14ac:dyDescent="0.3">
      <c r="B27" s="5">
        <v>6</v>
      </c>
      <c r="C27" s="111" t="str">
        <f ca="1">IF(ISBLANK(INDIRECT(ADDRESS(B27*2+2,3))),"",INDIRECT(ADDRESS(B27*2+2,3)))</f>
        <v>Елсаков Сергей</v>
      </c>
      <c r="D27" s="111"/>
      <c r="E27" s="112"/>
      <c r="F27" s="24">
        <v>13</v>
      </c>
      <c r="G27" s="25">
        <v>2</v>
      </c>
      <c r="H27" s="113" t="str">
        <f ca="1">IF(ISBLANK(INDIRECT(ADDRESS(K27*2+2,3))),"",INDIRECT(ADDRESS(K27*2+2,3)))</f>
        <v>Пономаренко Юрий</v>
      </c>
      <c r="I27" s="111"/>
      <c r="J27" s="111"/>
      <c r="K27" s="5">
        <v>4</v>
      </c>
      <c r="L27" s="27" t="s">
        <v>10</v>
      </c>
      <c r="M27" s="26"/>
    </row>
    <row r="28" spans="2:15" ht="30" customHeight="1" thickBot="1" x14ac:dyDescent="0.3">
      <c r="B28" s="5">
        <v>7</v>
      </c>
      <c r="C28" s="111" t="str">
        <f ca="1">IF(ISBLANK(INDIRECT(ADDRESS(B28*2+2,3))),"",INDIRECT(ADDRESS(B28*2+2,3)))</f>
        <v>Зимин Михаил</v>
      </c>
      <c r="D28" s="111"/>
      <c r="E28" s="112"/>
      <c r="F28" s="24">
        <v>10</v>
      </c>
      <c r="G28" s="25">
        <v>13</v>
      </c>
      <c r="H28" s="113" t="str">
        <f ca="1">IF(ISBLANK(INDIRECT(ADDRESS(K28*2+2,3))),"",INDIRECT(ADDRESS(K28*2+2,3)))</f>
        <v>Зинкеев Георгий*</v>
      </c>
      <c r="I28" s="111"/>
      <c r="J28" s="111"/>
      <c r="K28" s="5">
        <v>3</v>
      </c>
      <c r="L28" s="27" t="s">
        <v>10</v>
      </c>
      <c r="M28" s="26"/>
    </row>
    <row r="29" spans="2:15" ht="30" customHeight="1" thickBot="1" x14ac:dyDescent="0.3">
      <c r="B29" s="5">
        <v>1</v>
      </c>
      <c r="C29" s="111" t="str">
        <f ca="1">IF(ISBLANK(INDIRECT(ADDRESS(B29*2+2,3))),"",INDIRECT(ADDRESS(B29*2+2,3)))</f>
        <v>Анненков Дмитрий</v>
      </c>
      <c r="D29" s="111"/>
      <c r="E29" s="112"/>
      <c r="F29" s="24">
        <v>13</v>
      </c>
      <c r="G29" s="25">
        <v>4</v>
      </c>
      <c r="H29" s="113" t="str">
        <f ca="1">IF(ISBLANK(INDIRECT(ADDRESS(K29*2+2,3))),"",INDIRECT(ADDRESS(K29*2+2,3)))</f>
        <v>Большаков Василий</v>
      </c>
      <c r="I29" s="111"/>
      <c r="J29" s="111"/>
      <c r="K29" s="5">
        <v>2</v>
      </c>
      <c r="L29" s="27" t="s">
        <v>10</v>
      </c>
      <c r="M29" s="26"/>
    </row>
    <row r="30" spans="2:15" ht="30" customHeight="1" x14ac:dyDescent="0.25"/>
    <row r="31" spans="2:15" ht="30" customHeight="1" thickBot="1" x14ac:dyDescent="0.3">
      <c r="B31" s="114" t="s">
        <v>6</v>
      </c>
      <c r="C31" s="114"/>
      <c r="D31" s="114"/>
      <c r="E31" s="114"/>
      <c r="F31" s="114"/>
      <c r="G31" s="114"/>
      <c r="H31" s="114"/>
      <c r="I31" s="114"/>
      <c r="J31" s="114"/>
      <c r="K31" s="114"/>
    </row>
    <row r="32" spans="2:15" ht="30" customHeight="1" thickBot="1" x14ac:dyDescent="0.3">
      <c r="B32" s="5">
        <v>3</v>
      </c>
      <c r="C32" s="111" t="str">
        <f ca="1">IF(ISBLANK(INDIRECT(ADDRESS(B32*2+2,3))),"",INDIRECT(ADDRESS(B32*2+2,3)))</f>
        <v>Зинкеев Георгий*</v>
      </c>
      <c r="D32" s="111"/>
      <c r="E32" s="112"/>
      <c r="F32" s="24">
        <v>13</v>
      </c>
      <c r="G32" s="25">
        <v>11</v>
      </c>
      <c r="H32" s="113" t="str">
        <f ca="1">IF(ISBLANK(INDIRECT(ADDRESS(K32*2+2,3))),"",INDIRECT(ADDRESS(K32*2+2,3)))</f>
        <v>Анненков Дмитрий</v>
      </c>
      <c r="I32" s="111"/>
      <c r="J32" s="111"/>
      <c r="K32" s="5">
        <v>1</v>
      </c>
      <c r="L32" s="27" t="s">
        <v>10</v>
      </c>
      <c r="M32" s="26"/>
    </row>
    <row r="33" spans="2:13" ht="30" customHeight="1" thickBot="1" x14ac:dyDescent="0.3">
      <c r="B33" s="5">
        <v>4</v>
      </c>
      <c r="C33" s="111" t="str">
        <f ca="1">IF(ISBLANK(INDIRECT(ADDRESS(B33*2+2,3))),"",INDIRECT(ADDRESS(B33*2+2,3)))</f>
        <v>Пономаренко Юрий</v>
      </c>
      <c r="D33" s="111"/>
      <c r="E33" s="112"/>
      <c r="F33" s="24">
        <v>7</v>
      </c>
      <c r="G33" s="25">
        <v>13</v>
      </c>
      <c r="H33" s="113" t="str">
        <f ca="1">IF(ISBLANK(INDIRECT(ADDRESS(K33*2+2,3))),"",INDIRECT(ADDRESS(K33*2+2,3)))</f>
        <v>Зимин Михаил</v>
      </c>
      <c r="I33" s="111"/>
      <c r="J33" s="111"/>
      <c r="K33" s="5">
        <v>7</v>
      </c>
      <c r="L33" s="27" t="s">
        <v>10</v>
      </c>
      <c r="M33" s="26"/>
    </row>
    <row r="34" spans="2:13" ht="30" customHeight="1" thickBot="1" x14ac:dyDescent="0.3">
      <c r="B34" s="5">
        <v>5</v>
      </c>
      <c r="C34" s="111" t="str">
        <f ca="1">IF(ISBLANK(INDIRECT(ADDRESS(B34*2+2,3))),"",INDIRECT(ADDRESS(B34*2+2,3)))</f>
        <v>Новиков Андрей</v>
      </c>
      <c r="D34" s="111"/>
      <c r="E34" s="112"/>
      <c r="F34" s="24">
        <v>6</v>
      </c>
      <c r="G34" s="25">
        <v>13</v>
      </c>
      <c r="H34" s="113" t="str">
        <f ca="1">IF(ISBLANK(INDIRECT(ADDRESS(K34*2+2,3))),"",INDIRECT(ADDRESS(K34*2+2,3)))</f>
        <v>Елсаков Сергей</v>
      </c>
      <c r="I34" s="111"/>
      <c r="J34" s="111"/>
      <c r="K34" s="5">
        <v>6</v>
      </c>
      <c r="L34" s="27" t="s">
        <v>10</v>
      </c>
      <c r="M34" s="26"/>
    </row>
    <row r="35" spans="2:13" ht="30" customHeight="1" x14ac:dyDescent="0.25"/>
    <row r="36" spans="2:13" ht="30" customHeight="1" thickBot="1" x14ac:dyDescent="0.3">
      <c r="B36" s="114" t="s">
        <v>7</v>
      </c>
      <c r="C36" s="114"/>
      <c r="D36" s="114"/>
      <c r="E36" s="114"/>
      <c r="F36" s="114"/>
      <c r="G36" s="114"/>
      <c r="H36" s="114"/>
      <c r="I36" s="114"/>
      <c r="J36" s="114"/>
      <c r="K36" s="114"/>
    </row>
    <row r="37" spans="2:13" ht="30" customHeight="1" thickBot="1" x14ac:dyDescent="0.3">
      <c r="B37" s="5">
        <v>7</v>
      </c>
      <c r="C37" s="111" t="str">
        <f ca="1">IF(ISBLANK(INDIRECT(ADDRESS(B37*2+2,3))),"",INDIRECT(ADDRESS(B37*2+2,3)))</f>
        <v>Зимин Михаил</v>
      </c>
      <c r="D37" s="111"/>
      <c r="E37" s="112"/>
      <c r="F37" s="24">
        <v>12</v>
      </c>
      <c r="G37" s="25">
        <v>13</v>
      </c>
      <c r="H37" s="113" t="str">
        <f ca="1">IF(ISBLANK(INDIRECT(ADDRESS(K37*2+2,3))),"",INDIRECT(ADDRESS(K37*2+2,3)))</f>
        <v>Новиков Андрей</v>
      </c>
      <c r="I37" s="111"/>
      <c r="J37" s="111"/>
      <c r="K37" s="5">
        <v>5</v>
      </c>
      <c r="L37" s="27" t="s">
        <v>10</v>
      </c>
      <c r="M37" s="26"/>
    </row>
    <row r="38" spans="2:13" ht="30" customHeight="1" thickBot="1" x14ac:dyDescent="0.3">
      <c r="B38" s="5">
        <v>1</v>
      </c>
      <c r="C38" s="111" t="str">
        <f ca="1">IF(ISBLANK(INDIRECT(ADDRESS(B38*2+2,3))),"",INDIRECT(ADDRESS(B38*2+2,3)))</f>
        <v>Анненков Дмитрий</v>
      </c>
      <c r="D38" s="111"/>
      <c r="E38" s="112"/>
      <c r="F38" s="24">
        <v>6</v>
      </c>
      <c r="G38" s="25">
        <v>13</v>
      </c>
      <c r="H38" s="113" t="str">
        <f ca="1">IF(ISBLANK(INDIRECT(ADDRESS(K38*2+2,3))),"",INDIRECT(ADDRESS(K38*2+2,3)))</f>
        <v>Пономаренко Юрий</v>
      </c>
      <c r="I38" s="111"/>
      <c r="J38" s="111"/>
      <c r="K38" s="5">
        <v>4</v>
      </c>
      <c r="L38" s="27" t="s">
        <v>10</v>
      </c>
      <c r="M38" s="26"/>
    </row>
    <row r="39" spans="2:13" ht="30" customHeight="1" thickBot="1" x14ac:dyDescent="0.3">
      <c r="B39" s="5">
        <v>2</v>
      </c>
      <c r="C39" s="111" t="str">
        <f ca="1">IF(ISBLANK(INDIRECT(ADDRESS(B39*2+2,3))),"",INDIRECT(ADDRESS(B39*2+2,3)))</f>
        <v>Большаков Василий</v>
      </c>
      <c r="D39" s="111"/>
      <c r="E39" s="112"/>
      <c r="F39" s="24">
        <v>13</v>
      </c>
      <c r="G39" s="25">
        <v>3</v>
      </c>
      <c r="H39" s="113" t="str">
        <f ca="1">IF(ISBLANK(INDIRECT(ADDRESS(K39*2+2,3))),"",INDIRECT(ADDRESS(K39*2+2,3)))</f>
        <v>Зинкеев Георгий*</v>
      </c>
      <c r="I39" s="111"/>
      <c r="J39" s="111"/>
      <c r="K39" s="5">
        <v>3</v>
      </c>
      <c r="L39" s="27" t="s">
        <v>10</v>
      </c>
      <c r="M39" s="26"/>
    </row>
    <row r="40" spans="2:13" ht="30" customHeight="1" x14ac:dyDescent="0.25"/>
    <row r="41" spans="2:13" ht="30" customHeight="1" thickBot="1" x14ac:dyDescent="0.3">
      <c r="B41" s="114" t="s">
        <v>8</v>
      </c>
      <c r="C41" s="114"/>
      <c r="D41" s="114"/>
      <c r="E41" s="114"/>
      <c r="F41" s="114"/>
      <c r="G41" s="114"/>
      <c r="H41" s="114"/>
      <c r="I41" s="114"/>
      <c r="J41" s="114"/>
      <c r="K41" s="114"/>
    </row>
    <row r="42" spans="2:13" ht="30" customHeight="1" thickBot="1" x14ac:dyDescent="0.3">
      <c r="B42" s="5">
        <v>4</v>
      </c>
      <c r="C42" s="111" t="str">
        <f ca="1">IF(ISBLANK(INDIRECT(ADDRESS(B42*2+2,3))),"",INDIRECT(ADDRESS(B42*2+2,3)))</f>
        <v>Пономаренко Юрий</v>
      </c>
      <c r="D42" s="111"/>
      <c r="E42" s="112"/>
      <c r="F42" s="24">
        <v>3</v>
      </c>
      <c r="G42" s="25">
        <v>13</v>
      </c>
      <c r="H42" s="113" t="str">
        <f ca="1">IF(ISBLANK(INDIRECT(ADDRESS(K42*2+2,3))),"",INDIRECT(ADDRESS(K42*2+2,3)))</f>
        <v>Большаков Василий</v>
      </c>
      <c r="I42" s="111"/>
      <c r="J42" s="111"/>
      <c r="K42" s="5">
        <v>2</v>
      </c>
      <c r="L42" s="27" t="s">
        <v>10</v>
      </c>
      <c r="M42" s="26"/>
    </row>
    <row r="43" spans="2:13" ht="30" customHeight="1" thickBot="1" x14ac:dyDescent="0.3">
      <c r="B43" s="5">
        <v>5</v>
      </c>
      <c r="C43" s="111" t="str">
        <f ca="1">IF(ISBLANK(INDIRECT(ADDRESS(B43*2+2,3))),"",INDIRECT(ADDRESS(B43*2+2,3)))</f>
        <v>Новиков Андрей</v>
      </c>
      <c r="D43" s="111"/>
      <c r="E43" s="112"/>
      <c r="F43" s="24">
        <v>13</v>
      </c>
      <c r="G43" s="25">
        <v>5</v>
      </c>
      <c r="H43" s="113" t="str">
        <f ca="1">IF(ISBLANK(INDIRECT(ADDRESS(K43*2+2,3))),"",INDIRECT(ADDRESS(K43*2+2,3)))</f>
        <v>Анненков Дмитрий</v>
      </c>
      <c r="I43" s="111"/>
      <c r="J43" s="111"/>
      <c r="K43" s="5">
        <v>1</v>
      </c>
      <c r="L43" s="27" t="s">
        <v>10</v>
      </c>
      <c r="M43" s="26"/>
    </row>
    <row r="44" spans="2:13" ht="30" customHeight="1" thickBot="1" x14ac:dyDescent="0.3">
      <c r="B44" s="5">
        <v>6</v>
      </c>
      <c r="C44" s="111" t="str">
        <f ca="1">IF(ISBLANK(INDIRECT(ADDRESS(B44*2+2,3))),"",INDIRECT(ADDRESS(B44*2+2,3)))</f>
        <v>Елсаков Сергей</v>
      </c>
      <c r="D44" s="111"/>
      <c r="E44" s="112"/>
      <c r="F44" s="24">
        <v>13</v>
      </c>
      <c r="G44" s="25">
        <v>4</v>
      </c>
      <c r="H44" s="113" t="str">
        <f ca="1">IF(ISBLANK(INDIRECT(ADDRESS(K44*2+2,3))),"",INDIRECT(ADDRESS(K44*2+2,3)))</f>
        <v>Зимин Михаил</v>
      </c>
      <c r="I44" s="111"/>
      <c r="J44" s="111"/>
      <c r="K44" s="5">
        <v>7</v>
      </c>
      <c r="L44" s="27" t="s">
        <v>10</v>
      </c>
      <c r="M44" s="26"/>
    </row>
    <row r="45" spans="2:13" ht="30" customHeight="1" x14ac:dyDescent="0.25"/>
    <row r="46" spans="2:13" ht="30" customHeight="1" thickBot="1" x14ac:dyDescent="0.3">
      <c r="B46" s="114" t="s">
        <v>11</v>
      </c>
      <c r="C46" s="114"/>
      <c r="D46" s="114"/>
      <c r="E46" s="114"/>
      <c r="F46" s="114"/>
      <c r="G46" s="114"/>
      <c r="H46" s="114"/>
      <c r="I46" s="114"/>
      <c r="J46" s="114"/>
      <c r="K46" s="114"/>
    </row>
    <row r="47" spans="2:13" ht="30" customHeight="1" thickBot="1" x14ac:dyDescent="0.3">
      <c r="B47" s="5">
        <v>1</v>
      </c>
      <c r="C47" s="111" t="str">
        <f ca="1">IF(ISBLANK(INDIRECT(ADDRESS(B47*2+2,3))),"",INDIRECT(ADDRESS(B47*2+2,3)))</f>
        <v>Анненков Дмитрий</v>
      </c>
      <c r="D47" s="111"/>
      <c r="E47" s="112"/>
      <c r="F47" s="24">
        <v>3</v>
      </c>
      <c r="G47" s="25">
        <v>13</v>
      </c>
      <c r="H47" s="113" t="str">
        <f ca="1">IF(ISBLANK(INDIRECT(ADDRESS(K47*2+2,3))),"",INDIRECT(ADDRESS(K47*2+2,3)))</f>
        <v>Елсаков Сергей</v>
      </c>
      <c r="I47" s="111"/>
      <c r="J47" s="111"/>
      <c r="K47" s="5">
        <v>6</v>
      </c>
      <c r="L47" s="27" t="s">
        <v>10</v>
      </c>
      <c r="M47" s="26"/>
    </row>
    <row r="48" spans="2:13" ht="30" customHeight="1" thickBot="1" x14ac:dyDescent="0.3">
      <c r="B48" s="5">
        <v>2</v>
      </c>
      <c r="C48" s="111" t="str">
        <f ca="1">IF(ISBLANK(INDIRECT(ADDRESS(B48*2+2,3))),"",INDIRECT(ADDRESS(B48*2+2,3)))</f>
        <v>Большаков Василий</v>
      </c>
      <c r="D48" s="111"/>
      <c r="E48" s="112"/>
      <c r="F48" s="24">
        <v>13</v>
      </c>
      <c r="G48" s="25">
        <v>11</v>
      </c>
      <c r="H48" s="113" t="str">
        <f ca="1">IF(ISBLANK(INDIRECT(ADDRESS(K48*2+2,3))),"",INDIRECT(ADDRESS(K48*2+2,3)))</f>
        <v>Новиков Андрей</v>
      </c>
      <c r="I48" s="111"/>
      <c r="J48" s="111"/>
      <c r="K48" s="5">
        <v>5</v>
      </c>
      <c r="L48" s="27" t="s">
        <v>10</v>
      </c>
      <c r="M48" s="26"/>
    </row>
    <row r="49" spans="2:13" ht="30" customHeight="1" thickBot="1" x14ac:dyDescent="0.3">
      <c r="B49" s="5">
        <v>3</v>
      </c>
      <c r="C49" s="111" t="str">
        <f ca="1">IF(ISBLANK(INDIRECT(ADDRESS(B49*2+2,3))),"",INDIRECT(ADDRESS(B49*2+2,3)))</f>
        <v>Зинкеев Георгий*</v>
      </c>
      <c r="D49" s="111"/>
      <c r="E49" s="112"/>
      <c r="F49" s="24">
        <v>13</v>
      </c>
      <c r="G49" s="25">
        <v>8</v>
      </c>
      <c r="H49" s="113" t="str">
        <f ca="1">IF(ISBLANK(INDIRECT(ADDRESS(K49*2+2,3))),"",INDIRECT(ADDRESS(K49*2+2,3)))</f>
        <v>Пономаренко Юрий</v>
      </c>
      <c r="I49" s="111"/>
      <c r="J49" s="111"/>
      <c r="K49" s="5">
        <v>4</v>
      </c>
      <c r="L49" s="27" t="s">
        <v>10</v>
      </c>
      <c r="M49" s="26"/>
    </row>
    <row r="50" spans="2:13" ht="30" customHeight="1" x14ac:dyDescent="0.25"/>
    <row r="51" spans="2:13" ht="30" customHeight="1" thickBot="1" x14ac:dyDescent="0.3">
      <c r="B51" s="114" t="s">
        <v>12</v>
      </c>
      <c r="C51" s="114"/>
      <c r="D51" s="114"/>
      <c r="E51" s="114"/>
      <c r="F51" s="114"/>
      <c r="G51" s="114"/>
      <c r="H51" s="114"/>
      <c r="I51" s="114"/>
      <c r="J51" s="114"/>
      <c r="K51" s="114"/>
    </row>
    <row r="52" spans="2:13" ht="30" customHeight="1" thickBot="1" x14ac:dyDescent="0.3">
      <c r="B52" s="5">
        <v>5</v>
      </c>
      <c r="C52" s="111" t="str">
        <f ca="1">IF(ISBLANK(INDIRECT(ADDRESS(B52*2+2,3))),"",INDIRECT(ADDRESS(B52*2+2,3)))</f>
        <v>Новиков Андрей</v>
      </c>
      <c r="D52" s="111"/>
      <c r="E52" s="112"/>
      <c r="F52" s="24">
        <v>11</v>
      </c>
      <c r="G52" s="25">
        <v>13</v>
      </c>
      <c r="H52" s="113" t="str">
        <f ca="1">IF(ISBLANK(INDIRECT(ADDRESS(K52*2+2,3))),"",INDIRECT(ADDRESS(K52*2+2,3)))</f>
        <v>Зинкеев Георгий*</v>
      </c>
      <c r="I52" s="111"/>
      <c r="J52" s="111"/>
      <c r="K52" s="5">
        <v>3</v>
      </c>
      <c r="L52" s="27" t="s">
        <v>10</v>
      </c>
      <c r="M52" s="26"/>
    </row>
    <row r="53" spans="2:13" ht="30" customHeight="1" thickBot="1" x14ac:dyDescent="0.3">
      <c r="B53" s="5">
        <v>6</v>
      </c>
      <c r="C53" s="111" t="str">
        <f ca="1">IF(ISBLANK(INDIRECT(ADDRESS(B53*2+2,3))),"",INDIRECT(ADDRESS(B53*2+2,3)))</f>
        <v>Елсаков Сергей</v>
      </c>
      <c r="D53" s="111"/>
      <c r="E53" s="112"/>
      <c r="F53" s="24">
        <v>6</v>
      </c>
      <c r="G53" s="25">
        <v>13</v>
      </c>
      <c r="H53" s="113" t="str">
        <f ca="1">IF(ISBLANK(INDIRECT(ADDRESS(K53*2+2,3))),"",INDIRECT(ADDRESS(K53*2+2,3)))</f>
        <v>Большаков Василий</v>
      </c>
      <c r="I53" s="111"/>
      <c r="J53" s="111"/>
      <c r="K53" s="5">
        <v>2</v>
      </c>
      <c r="L53" s="27" t="s">
        <v>10</v>
      </c>
      <c r="M53" s="26"/>
    </row>
    <row r="54" spans="2:13" ht="30" customHeight="1" thickBot="1" x14ac:dyDescent="0.3">
      <c r="B54" s="5">
        <v>7</v>
      </c>
      <c r="C54" s="111" t="str">
        <f ca="1">IF(ISBLANK(INDIRECT(ADDRESS(B54*2+2,3))),"",INDIRECT(ADDRESS(B54*2+2,3)))</f>
        <v>Зимин Михаил</v>
      </c>
      <c r="D54" s="111"/>
      <c r="E54" s="112"/>
      <c r="F54" s="24">
        <v>12</v>
      </c>
      <c r="G54" s="25">
        <v>13</v>
      </c>
      <c r="H54" s="113" t="str">
        <f ca="1">IF(ISBLANK(INDIRECT(ADDRESS(K54*2+2,3))),"",INDIRECT(ADDRESS(K54*2+2,3)))</f>
        <v>Анненков Дмитрий</v>
      </c>
      <c r="I54" s="111"/>
      <c r="J54" s="111"/>
      <c r="K54" s="5">
        <v>1</v>
      </c>
      <c r="L54" s="27" t="s">
        <v>10</v>
      </c>
      <c r="M54" s="26"/>
    </row>
  </sheetData>
  <mergeCells count="79">
    <mergeCell ref="C52:E52"/>
    <mergeCell ref="H52:J52"/>
    <mergeCell ref="C53:E53"/>
    <mergeCell ref="H53:J53"/>
    <mergeCell ref="C54:E54"/>
    <mergeCell ref="H54:J54"/>
    <mergeCell ref="C48:E48"/>
    <mergeCell ref="H48:J48"/>
    <mergeCell ref="C49:E49"/>
    <mergeCell ref="H49:J49"/>
    <mergeCell ref="B51:K51"/>
    <mergeCell ref="C44:E44"/>
    <mergeCell ref="H44:J44"/>
    <mergeCell ref="B46:K46"/>
    <mergeCell ref="C47:E47"/>
    <mergeCell ref="H47:J47"/>
    <mergeCell ref="B41:K41"/>
    <mergeCell ref="C42:E42"/>
    <mergeCell ref="H42:J42"/>
    <mergeCell ref="C43:E43"/>
    <mergeCell ref="H43:J43"/>
    <mergeCell ref="C37:E37"/>
    <mergeCell ref="H37:J37"/>
    <mergeCell ref="C38:E38"/>
    <mergeCell ref="H38:J38"/>
    <mergeCell ref="C39:E39"/>
    <mergeCell ref="H39:J39"/>
    <mergeCell ref="C33:E33"/>
    <mergeCell ref="H33:J33"/>
    <mergeCell ref="C34:E34"/>
    <mergeCell ref="H34:J34"/>
    <mergeCell ref="B36:K36"/>
    <mergeCell ref="C29:E29"/>
    <mergeCell ref="H29:J29"/>
    <mergeCell ref="B31:K31"/>
    <mergeCell ref="C32:E32"/>
    <mergeCell ref="H32:J32"/>
    <mergeCell ref="B26:K26"/>
    <mergeCell ref="C27:E27"/>
    <mergeCell ref="H27:J27"/>
    <mergeCell ref="C28:E28"/>
    <mergeCell ref="H28:J28"/>
    <mergeCell ref="C22:E22"/>
    <mergeCell ref="H22:J22"/>
    <mergeCell ref="C23:E23"/>
    <mergeCell ref="H23:J23"/>
    <mergeCell ref="C24:E24"/>
    <mergeCell ref="H24:J24"/>
    <mergeCell ref="B16:B17"/>
    <mergeCell ref="C16:E17"/>
    <mergeCell ref="M16:M17"/>
    <mergeCell ref="O16:O17"/>
    <mergeCell ref="B21:K21"/>
    <mergeCell ref="B12:B13"/>
    <mergeCell ref="C12:E13"/>
    <mergeCell ref="M12:M13"/>
    <mergeCell ref="O12:O13"/>
    <mergeCell ref="B14:B15"/>
    <mergeCell ref="C14:E15"/>
    <mergeCell ref="M14:M15"/>
    <mergeCell ref="O14:O15"/>
    <mergeCell ref="B8:B9"/>
    <mergeCell ref="C8:E9"/>
    <mergeCell ref="M8:M9"/>
    <mergeCell ref="O8:O9"/>
    <mergeCell ref="B10:B11"/>
    <mergeCell ref="C10:E11"/>
    <mergeCell ref="M10:M11"/>
    <mergeCell ref="O10:O11"/>
    <mergeCell ref="O4:O5"/>
    <mergeCell ref="B6:B7"/>
    <mergeCell ref="C6:E7"/>
    <mergeCell ref="M6:M7"/>
    <mergeCell ref="O6:O7"/>
    <mergeCell ref="B1:K1"/>
    <mergeCell ref="C3:E3"/>
    <mergeCell ref="B4:B5"/>
    <mergeCell ref="C4:E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12" sqref="C12:E13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31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45669</v>
      </c>
    </row>
    <row r="2" spans="2:14" ht="15.75" thickBot="1" x14ac:dyDescent="0.3">
      <c r="M2"/>
    </row>
    <row r="3" spans="2:14" ht="30" customHeight="1" thickBot="1" x14ac:dyDescent="0.3">
      <c r="B3" s="44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48" t="s">
        <v>32</v>
      </c>
      <c r="D4" s="149"/>
      <c r="E4" s="150"/>
      <c r="F4" s="10" t="s">
        <v>30</v>
      </c>
      <c r="G4" s="6" t="str">
        <f ca="1">INDIRECT(ADDRESS(27,6))&amp;":"&amp;INDIRECT(ADDRESS(27,7))</f>
        <v>13:3</v>
      </c>
      <c r="H4" s="6" t="str">
        <f ca="1">INDIRECT(ADDRESS(31,7))&amp;":"&amp;INDIRECT(ADDRESS(31,6))</f>
        <v>5:13</v>
      </c>
      <c r="I4" s="6" t="str">
        <f ca="1">INDIRECT(ADDRESS(36,6))&amp;":"&amp;INDIRECT(ADDRESS(36,7))</f>
        <v>12:11</v>
      </c>
      <c r="J4" s="6" t="str">
        <f ca="1">INDIRECT(ADDRESS(42,7))&amp;":"&amp;INDIRECT(ADDRESS(42,6))</f>
        <v>6:13</v>
      </c>
      <c r="K4" s="20" t="str">
        <f ca="1">INDIRECT(ADDRESS(20,6))&amp;":"&amp;INDIRECT(ADDRESS(20,7))</f>
        <v>13:1</v>
      </c>
      <c r="L4" s="151">
        <f ca="1">IF(COUNT(F5:K5)=0,"",COUNTIF(F5:K5,"&gt;0")+0.5*COUNTIF(F5:K5,0))</f>
        <v>3</v>
      </c>
      <c r="M4" s="23">
        <v>4</v>
      </c>
      <c r="N4" s="88">
        <v>3</v>
      </c>
    </row>
    <row r="5" spans="2:14" ht="24" customHeight="1" x14ac:dyDescent="0.25">
      <c r="B5" s="95"/>
      <c r="C5" s="126"/>
      <c r="D5" s="127"/>
      <c r="E5" s="128"/>
      <c r="F5" s="13" t="s">
        <v>30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-8</v>
      </c>
      <c r="I5" s="16">
        <f ca="1">IF(LEN(INDIRECT(ADDRESS(ROW()-1, COLUMN())))=1,"",INDIRECT(ADDRESS(36,6))-INDIRECT(ADDRESS(36,7)))</f>
        <v>1</v>
      </c>
      <c r="J5" s="16">
        <f ca="1">IF(LEN(INDIRECT(ADDRESS(ROW()-1, COLUMN())))=1,"",INDIRECT(ADDRESS(42,7))-INDIRECT(ADDRESS(42,6)))</f>
        <v>-7</v>
      </c>
      <c r="K5" s="17">
        <f ca="1">IF(LEN(INDIRECT(ADDRESS(ROW()-1, COLUMN())))=1,"",INDIRECT(ADDRESS(20,6))-INDIRECT(ADDRESS(20,7)))</f>
        <v>12</v>
      </c>
      <c r="L5" s="144"/>
      <c r="M5" s="16">
        <f ca="1">IF(COUNT(F5:K5)=0,"",SUM(F5:K5))</f>
        <v>8</v>
      </c>
      <c r="N5" s="89"/>
    </row>
    <row r="6" spans="2:14" ht="24" customHeight="1" x14ac:dyDescent="0.25">
      <c r="B6" s="104">
        <v>2</v>
      </c>
      <c r="C6" s="99" t="s">
        <v>33</v>
      </c>
      <c r="D6" s="100"/>
      <c r="E6" s="101"/>
      <c r="F6" s="12" t="str">
        <f ca="1">INDIRECT(ADDRESS(27,7))&amp;":"&amp;INDIRECT(ADDRESS(27,6))</f>
        <v>3:13</v>
      </c>
      <c r="G6" s="8" t="s">
        <v>30</v>
      </c>
      <c r="H6" s="7" t="str">
        <f ca="1">INDIRECT(ADDRESS(37,6))&amp;":"&amp;INDIRECT(ADDRESS(37,7))</f>
        <v>11:13</v>
      </c>
      <c r="I6" s="7" t="str">
        <f ca="1">INDIRECT(ADDRESS(41,7))&amp;":"&amp;INDIRECT(ADDRESS(41,6))</f>
        <v>13:12</v>
      </c>
      <c r="J6" s="7" t="str">
        <f ca="1">INDIRECT(ADDRESS(21,6))&amp;":"&amp;INDIRECT(ADDRESS(21,7))</f>
        <v>3:13</v>
      </c>
      <c r="K6" s="11" t="str">
        <f ca="1">INDIRECT(ADDRESS(30,6))&amp;":"&amp;INDIRECT(ADDRESS(30,7))</f>
        <v>6:13</v>
      </c>
      <c r="L6" s="144">
        <f ca="1">IF(COUNT(F7:K7)=0,"",COUNTIF(F7:K7,"&gt;0")+0.5*COUNTIF(F7:K7,0))</f>
        <v>1</v>
      </c>
      <c r="M6" s="16"/>
      <c r="N6" s="110">
        <v>5</v>
      </c>
    </row>
    <row r="7" spans="2:14" ht="24" customHeight="1" x14ac:dyDescent="0.25">
      <c r="B7" s="95"/>
      <c r="C7" s="99"/>
      <c r="D7" s="100"/>
      <c r="E7" s="101"/>
      <c r="F7" s="22">
        <f ca="1">IF(LEN(INDIRECT(ADDRESS(ROW()-1, COLUMN())))=1,"",INDIRECT(ADDRESS(27,7))-INDIRECT(ADDRESS(27,6)))</f>
        <v>-10</v>
      </c>
      <c r="G7" s="14" t="s">
        <v>30</v>
      </c>
      <c r="H7" s="16">
        <f ca="1">IF(LEN(INDIRECT(ADDRESS(ROW()-1, COLUMN())))=1,"",INDIRECT(ADDRESS(37,6))-INDIRECT(ADDRESS(37,7)))</f>
        <v>-2</v>
      </c>
      <c r="I7" s="16">
        <f ca="1">IF(LEN(INDIRECT(ADDRESS(ROW()-1, COLUMN())))=1,"",INDIRECT(ADDRESS(41,7))-INDIRECT(ADDRESS(41,6)))</f>
        <v>1</v>
      </c>
      <c r="J7" s="16">
        <f ca="1">IF(LEN(INDIRECT(ADDRESS(ROW()-1, COLUMN())))=1,"",INDIRECT(ADDRESS(21,6))-INDIRECT(ADDRESS(21,7)))</f>
        <v>-10</v>
      </c>
      <c r="K7" s="17">
        <f ca="1">IF(LEN(INDIRECT(ADDRESS(ROW()-1, COLUMN())))=1,"",INDIRECT(ADDRESS(30,6))-INDIRECT(ADDRESS(30,7)))</f>
        <v>-7</v>
      </c>
      <c r="L7" s="144"/>
      <c r="M7" s="16">
        <f ca="1">IF(COUNT(F7:K7)=0,"",SUM(F7:K7))</f>
        <v>-28</v>
      </c>
      <c r="N7" s="89"/>
    </row>
    <row r="8" spans="2:14" ht="24" customHeight="1" x14ac:dyDescent="0.25">
      <c r="B8" s="104">
        <v>3</v>
      </c>
      <c r="C8" s="105" t="s">
        <v>34</v>
      </c>
      <c r="D8" s="106"/>
      <c r="E8" s="107"/>
      <c r="F8" s="12" t="str">
        <f ca="1">INDIRECT(ADDRESS(31,6))&amp;":"&amp;INDIRECT(ADDRESS(31,7))</f>
        <v>13:5</v>
      </c>
      <c r="G8" s="7" t="str">
        <f ca="1">INDIRECT(ADDRESS(37,7))&amp;":"&amp;INDIRECT(ADDRESS(37,6))</f>
        <v>13:11</v>
      </c>
      <c r="H8" s="8" t="s">
        <v>30</v>
      </c>
      <c r="I8" s="7" t="str">
        <f ca="1">INDIRECT(ADDRESS(22,6))&amp;":"&amp;INDIRECT(ADDRESS(22,7))</f>
        <v>13:6</v>
      </c>
      <c r="J8" s="7" t="str">
        <f ca="1">INDIRECT(ADDRESS(26,7))&amp;":"&amp;INDIRECT(ADDRESS(26,6))</f>
        <v>2:13</v>
      </c>
      <c r="K8" s="11" t="str">
        <f ca="1">INDIRECT(ADDRESS(40,6))&amp;":"&amp;INDIRECT(ADDRESS(40,7))</f>
        <v>10:13</v>
      </c>
      <c r="L8" s="144">
        <f ca="1">IF(COUNT(F9:K9)=0,"",COUNTIF(F9:K9,"&gt;0")+0.5*COUNTIF(F9:K9,0))</f>
        <v>3</v>
      </c>
      <c r="M8" s="16">
        <v>5</v>
      </c>
      <c r="N8" s="110">
        <v>2</v>
      </c>
    </row>
    <row r="9" spans="2:14" ht="24" customHeight="1" x14ac:dyDescent="0.25">
      <c r="B9" s="95"/>
      <c r="C9" s="105"/>
      <c r="D9" s="106"/>
      <c r="E9" s="107"/>
      <c r="F9" s="22">
        <f ca="1">IF(LEN(INDIRECT(ADDRESS(ROW()-1, COLUMN())))=1,"",INDIRECT(ADDRESS(31,6))-INDIRECT(ADDRESS(31,7)))</f>
        <v>8</v>
      </c>
      <c r="G9" s="16">
        <f ca="1">IF(LEN(INDIRECT(ADDRESS(ROW()-1, COLUMN())))=1,"",INDIRECT(ADDRESS(37,7))-INDIRECT(ADDRESS(37,6)))</f>
        <v>2</v>
      </c>
      <c r="H9" s="14" t="s">
        <v>30</v>
      </c>
      <c r="I9" s="16">
        <f ca="1">IF(LEN(INDIRECT(ADDRESS(ROW()-1, COLUMN())))=1,"",INDIRECT(ADDRESS(22,6))-INDIRECT(ADDRESS(22,7)))</f>
        <v>7</v>
      </c>
      <c r="J9" s="16">
        <f ca="1">IF(LEN(INDIRECT(ADDRESS(ROW()-1, COLUMN())))=1,"",INDIRECT(ADDRESS(26,7))-INDIRECT(ADDRESS(26,6)))</f>
        <v>-11</v>
      </c>
      <c r="K9" s="17">
        <f ca="1">IF(LEN(INDIRECT(ADDRESS(ROW()-1, COLUMN())))=1,"",INDIRECT(ADDRESS(40,6))-INDIRECT(ADDRESS(40,7)))</f>
        <v>-3</v>
      </c>
      <c r="L9" s="144"/>
      <c r="M9" s="16">
        <f ca="1">IF(COUNT(F9:K9)=0,"",SUM(F9:K9))</f>
        <v>3</v>
      </c>
      <c r="N9" s="89"/>
    </row>
    <row r="10" spans="2:14" ht="24" customHeight="1" x14ac:dyDescent="0.25">
      <c r="B10" s="104">
        <v>4</v>
      </c>
      <c r="C10" s="99" t="s">
        <v>35</v>
      </c>
      <c r="D10" s="100"/>
      <c r="E10" s="101"/>
      <c r="F10" s="12" t="str">
        <f ca="1">INDIRECT(ADDRESS(36,7))&amp;":"&amp;INDIRECT(ADDRESS(36,6))</f>
        <v>11:12</v>
      </c>
      <c r="G10" s="7" t="str">
        <f ca="1">INDIRECT(ADDRESS(41,6))&amp;":"&amp;INDIRECT(ADDRESS(41,7))</f>
        <v>12:13</v>
      </c>
      <c r="H10" s="7" t="str">
        <f ca="1">INDIRECT(ADDRESS(22,7))&amp;":"&amp;INDIRECT(ADDRESS(22,6))</f>
        <v>6:13</v>
      </c>
      <c r="I10" s="8" t="s">
        <v>30</v>
      </c>
      <c r="J10" s="7" t="str">
        <f ca="1">INDIRECT(ADDRESS(32,6))&amp;":"&amp;INDIRECT(ADDRESS(32,7))</f>
        <v>5:13</v>
      </c>
      <c r="K10" s="11" t="str">
        <f ca="1">INDIRECT(ADDRESS(25,7))&amp;":"&amp;INDIRECT(ADDRESS(25,6))</f>
        <v>9:13</v>
      </c>
      <c r="L10" s="144">
        <f ca="1">IF(COUNT(F11:K11)=0,"",COUNTIF(F11:K11,"&gt;0")+0.5*COUNTIF(F11:K11,0))</f>
        <v>0</v>
      </c>
      <c r="M10" s="16"/>
      <c r="N10" s="110">
        <v>6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-1</v>
      </c>
      <c r="G11" s="16">
        <f ca="1">IF(LEN(INDIRECT(ADDRESS(ROW()-1, COLUMN())))=1,"",INDIRECT(ADDRESS(41,6))-INDIRECT(ADDRESS(41,7)))</f>
        <v>-1</v>
      </c>
      <c r="H11" s="16">
        <f ca="1">IF(LEN(INDIRECT(ADDRESS(ROW()-1, COLUMN())))=1,"",INDIRECT(ADDRESS(22,7))-INDIRECT(ADDRESS(22,6)))</f>
        <v>-7</v>
      </c>
      <c r="I11" s="14" t="s">
        <v>30</v>
      </c>
      <c r="J11" s="16">
        <f ca="1">IF(LEN(INDIRECT(ADDRESS(ROW()-1, COLUMN())))=1,"",INDIRECT(ADDRESS(32,6))-INDIRECT(ADDRESS(32,7)))</f>
        <v>-8</v>
      </c>
      <c r="K11" s="17">
        <f ca="1">IF(LEN(INDIRECT(ADDRESS(ROW()-1, COLUMN())))=1,"",INDIRECT(ADDRESS(25,7))-INDIRECT(ADDRESS(25,6)))</f>
        <v>-4</v>
      </c>
      <c r="L11" s="144"/>
      <c r="M11" s="16">
        <f ca="1">IF(COUNT(F11:K11)=0,"",SUM(F11:K11))</f>
        <v>-21</v>
      </c>
      <c r="N11" s="89"/>
    </row>
    <row r="12" spans="2:14" ht="24" customHeight="1" x14ac:dyDescent="0.25">
      <c r="B12" s="104">
        <v>5</v>
      </c>
      <c r="C12" s="105" t="s">
        <v>36</v>
      </c>
      <c r="D12" s="106"/>
      <c r="E12" s="107"/>
      <c r="F12" s="12" t="str">
        <f ca="1">INDIRECT(ADDRESS(42,6))&amp;":"&amp;INDIRECT(ADDRESS(42,7))</f>
        <v>13:6</v>
      </c>
      <c r="G12" s="7" t="str">
        <f ca="1">INDIRECT(ADDRESS(21,7))&amp;":"&amp;INDIRECT(ADDRESS(21,6))</f>
        <v>13:3</v>
      </c>
      <c r="H12" s="7" t="str">
        <f ca="1">INDIRECT(ADDRESS(26,6))&amp;":"&amp;INDIRECT(ADDRESS(26,7))</f>
        <v>13:2</v>
      </c>
      <c r="I12" s="7" t="str">
        <f ca="1">INDIRECT(ADDRESS(32,7))&amp;":"&amp;INDIRECT(ADDRESS(32,6))</f>
        <v>13:5</v>
      </c>
      <c r="J12" s="8" t="s">
        <v>30</v>
      </c>
      <c r="K12" s="11" t="str">
        <f ca="1">INDIRECT(ADDRESS(35,7))&amp;":"&amp;INDIRECT(ADDRESS(35,6))</f>
        <v>13:5</v>
      </c>
      <c r="L12" s="144">
        <f ca="1">IF(COUNT(F13:K13)=0,"",COUNTIF(F13:K13,"&gt;0")+0.5*COUNTIF(F13:K13,0))</f>
        <v>5</v>
      </c>
      <c r="M12" s="16"/>
      <c r="N12" s="110">
        <v>1</v>
      </c>
    </row>
    <row r="13" spans="2:14" ht="24" customHeight="1" x14ac:dyDescent="0.25">
      <c r="B13" s="95"/>
      <c r="C13" s="105"/>
      <c r="D13" s="106"/>
      <c r="E13" s="107"/>
      <c r="F13" s="22">
        <f ca="1">IF(LEN(INDIRECT(ADDRESS(ROW()-1, COLUMN())))=1,"",INDIRECT(ADDRESS(42,6))-INDIRECT(ADDRESS(42,7)))</f>
        <v>7</v>
      </c>
      <c r="G13" s="16">
        <f ca="1">IF(LEN(INDIRECT(ADDRESS(ROW()-1, COLUMN())))=1,"",INDIRECT(ADDRESS(21,7))-INDIRECT(ADDRESS(21,6)))</f>
        <v>10</v>
      </c>
      <c r="H13" s="16">
        <f ca="1">IF(LEN(INDIRECT(ADDRESS(ROW()-1, COLUMN())))=1,"",INDIRECT(ADDRESS(26,6))-INDIRECT(ADDRESS(26,7)))</f>
        <v>11</v>
      </c>
      <c r="I13" s="16">
        <f ca="1">IF(LEN(INDIRECT(ADDRESS(ROW()-1, COLUMN())))=1,"",INDIRECT(ADDRESS(32,7))-INDIRECT(ADDRESS(32,6)))</f>
        <v>8</v>
      </c>
      <c r="J13" s="14" t="s">
        <v>30</v>
      </c>
      <c r="K13" s="17">
        <f ca="1">IF(LEN(INDIRECT(ADDRESS(ROW()-1, COLUMN())))=1,"",INDIRECT(ADDRESS(35,7))-INDIRECT(ADDRESS(35,6)))</f>
        <v>8</v>
      </c>
      <c r="L13" s="144"/>
      <c r="M13" s="16">
        <f ca="1">IF(COUNT(F13:K13)=0,"",SUM(F13:K13))</f>
        <v>44</v>
      </c>
      <c r="N13" s="89"/>
    </row>
    <row r="14" spans="2:14" ht="24" customHeight="1" x14ac:dyDescent="0.25">
      <c r="B14" s="104">
        <v>6</v>
      </c>
      <c r="C14" s="99" t="s">
        <v>37</v>
      </c>
      <c r="D14" s="100"/>
      <c r="E14" s="101"/>
      <c r="F14" s="12" t="str">
        <f ca="1">INDIRECT(ADDRESS(20,7))&amp;":"&amp;INDIRECT(ADDRESS(20,6))</f>
        <v>1:13</v>
      </c>
      <c r="G14" s="7" t="str">
        <f ca="1">INDIRECT(ADDRESS(30,7))&amp;":"&amp;INDIRECT(ADDRESS(30,6))</f>
        <v>13:6</v>
      </c>
      <c r="H14" s="7" t="str">
        <f ca="1">INDIRECT(ADDRESS(40,7))&amp;":"&amp;INDIRECT(ADDRESS(40,6))</f>
        <v>13:10</v>
      </c>
      <c r="I14" s="7" t="str">
        <f ca="1">INDIRECT(ADDRESS(25,6))&amp;":"&amp;INDIRECT(ADDRESS(25,7))</f>
        <v>13:9</v>
      </c>
      <c r="J14" s="7" t="str">
        <f ca="1">INDIRECT(ADDRESS(35,6))&amp;":"&amp;INDIRECT(ADDRESS(35,7))</f>
        <v>5:13</v>
      </c>
      <c r="K14" s="50" t="s">
        <v>30</v>
      </c>
      <c r="L14" s="144">
        <f ca="1">IF(COUNT(F15:K15)=0,"",COUNTIF(F15:K15,"&gt;0")+0.5*COUNTIF(F15:K15,0))</f>
        <v>3</v>
      </c>
      <c r="M14" s="16">
        <v>-9</v>
      </c>
      <c r="N14" s="110">
        <v>4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-12</v>
      </c>
      <c r="G15" s="18">
        <f ca="1">IF(LEN(INDIRECT(ADDRESS(ROW()-1, COLUMN())))=1,"",INDIRECT(ADDRESS(30,7))-INDIRECT(ADDRESS(30,6)))</f>
        <v>7</v>
      </c>
      <c r="H15" s="18">
        <f ca="1">IF(LEN(INDIRECT(ADDRESS(ROW()-1, COLUMN())))=1,"",INDIRECT(ADDRESS(40,7))-INDIRECT(ADDRESS(40,6)))</f>
        <v>3</v>
      </c>
      <c r="I15" s="18">
        <f ca="1">IF(LEN(INDIRECT(ADDRESS(ROW()-1, COLUMN())))=1,"",INDIRECT(ADDRESS(25,6))-INDIRECT(ADDRESS(25,7)))</f>
        <v>4</v>
      </c>
      <c r="J15" s="18">
        <f ca="1">IF(LEN(INDIRECT(ADDRESS(ROW()-1, COLUMN())))=1,"",INDIRECT(ADDRESS(35,6))-INDIRECT(ADDRESS(35,7)))</f>
        <v>-8</v>
      </c>
      <c r="K15" s="15" t="s">
        <v>30</v>
      </c>
      <c r="L15" s="145"/>
      <c r="M15" s="18">
        <f ca="1">IF(COUNT(F15:K15)=0,"",SUM(F15:K15))</f>
        <v>-6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Бобков Василий</v>
      </c>
      <c r="D20" s="141"/>
      <c r="E20" s="142"/>
      <c r="F20" s="54">
        <v>13</v>
      </c>
      <c r="G20" s="55">
        <v>1</v>
      </c>
      <c r="H20" s="143" t="str">
        <f ca="1">IF(ISBLANK(INDIRECT(ADDRESS(K20*2+2,3))),"",INDIRECT(ADDRESS(K20*2+2,3)))</f>
        <v>Шилов Александр</v>
      </c>
      <c r="I20" s="141"/>
      <c r="J20" s="141"/>
      <c r="K20" s="53">
        <v>6</v>
      </c>
      <c r="L20" s="56" t="s">
        <v>10</v>
      </c>
      <c r="M20" s="45"/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Коваль Василий</v>
      </c>
      <c r="D21" s="141"/>
      <c r="E21" s="142"/>
      <c r="F21" s="54">
        <v>3</v>
      </c>
      <c r="G21" s="55">
        <v>13</v>
      </c>
      <c r="H21" s="143" t="str">
        <f ca="1">IF(ISBLANK(INDIRECT(ADDRESS(K21*2+2,3))),"",INDIRECT(ADDRESS(K21*2+2,3)))</f>
        <v>Хмылев Юрий</v>
      </c>
      <c r="I21" s="141"/>
      <c r="J21" s="141"/>
      <c r="K21" s="53">
        <v>5</v>
      </c>
      <c r="L21" s="56" t="s">
        <v>10</v>
      </c>
      <c r="M21" s="45"/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Петренко Евгений</v>
      </c>
      <c r="D22" s="141"/>
      <c r="E22" s="142"/>
      <c r="F22" s="54">
        <v>13</v>
      </c>
      <c r="G22" s="55">
        <v>6</v>
      </c>
      <c r="H22" s="143" t="str">
        <f ca="1">IF(ISBLANK(INDIRECT(ADDRESS(K22*2+2,3))),"",INDIRECT(ADDRESS(K22*2+2,3)))</f>
        <v>Пономарев Денис</v>
      </c>
      <c r="I22" s="141"/>
      <c r="J22" s="141"/>
      <c r="K22" s="53">
        <v>4</v>
      </c>
      <c r="L22" s="56" t="s">
        <v>10</v>
      </c>
      <c r="M22" s="45"/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Шилов Александр</v>
      </c>
      <c r="D25" s="141"/>
      <c r="E25" s="142"/>
      <c r="F25" s="54">
        <v>13</v>
      </c>
      <c r="G25" s="55">
        <v>9</v>
      </c>
      <c r="H25" s="143" t="str">
        <f ca="1">IF(ISBLANK(INDIRECT(ADDRESS(K25*2+2,3))),"",INDIRECT(ADDRESS(K25*2+2,3)))</f>
        <v>Пономарев Денис</v>
      </c>
      <c r="I25" s="141"/>
      <c r="J25" s="141"/>
      <c r="K25" s="53">
        <v>4</v>
      </c>
      <c r="L25" s="56" t="s">
        <v>10</v>
      </c>
      <c r="M25" s="45"/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Хмылев Юрий</v>
      </c>
      <c r="D26" s="141"/>
      <c r="E26" s="142"/>
      <c r="F26" s="54">
        <v>13</v>
      </c>
      <c r="G26" s="55">
        <v>2</v>
      </c>
      <c r="H26" s="143" t="str">
        <f ca="1">IF(ISBLANK(INDIRECT(ADDRESS(K26*2+2,3))),"",INDIRECT(ADDRESS(K26*2+2,3)))</f>
        <v>Петренко Евгений</v>
      </c>
      <c r="I26" s="141"/>
      <c r="J26" s="141"/>
      <c r="K26" s="53">
        <v>3</v>
      </c>
      <c r="L26" s="56" t="s">
        <v>10</v>
      </c>
      <c r="M26" s="45"/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Бобков Василий</v>
      </c>
      <c r="D27" s="141"/>
      <c r="E27" s="142"/>
      <c r="F27" s="54">
        <v>13</v>
      </c>
      <c r="G27" s="55">
        <v>3</v>
      </c>
      <c r="H27" s="143" t="str">
        <f ca="1">IF(ISBLANK(INDIRECT(ADDRESS(K27*2+2,3))),"",INDIRECT(ADDRESS(K27*2+2,3)))</f>
        <v>Коваль Василий</v>
      </c>
      <c r="I27" s="141"/>
      <c r="J27" s="141"/>
      <c r="K27" s="53">
        <v>2</v>
      </c>
      <c r="L27" s="56" t="s">
        <v>10</v>
      </c>
      <c r="M27" s="45"/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Коваль Василий</v>
      </c>
      <c r="D30" s="141"/>
      <c r="E30" s="142"/>
      <c r="F30" s="54">
        <v>6</v>
      </c>
      <c r="G30" s="55">
        <v>13</v>
      </c>
      <c r="H30" s="143" t="str">
        <f ca="1">IF(ISBLANK(INDIRECT(ADDRESS(K30*2+2,3))),"",INDIRECT(ADDRESS(K30*2+2,3)))</f>
        <v>Шилов Александр</v>
      </c>
      <c r="I30" s="141"/>
      <c r="J30" s="141"/>
      <c r="K30" s="53">
        <v>6</v>
      </c>
      <c r="L30" s="56" t="s">
        <v>10</v>
      </c>
      <c r="M30" s="45"/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Петренко Евгений</v>
      </c>
      <c r="D31" s="141"/>
      <c r="E31" s="142"/>
      <c r="F31" s="54">
        <v>13</v>
      </c>
      <c r="G31" s="55">
        <v>5</v>
      </c>
      <c r="H31" s="143" t="str">
        <f ca="1">IF(ISBLANK(INDIRECT(ADDRESS(K31*2+2,3))),"",INDIRECT(ADDRESS(K31*2+2,3)))</f>
        <v>Бобков Василий</v>
      </c>
      <c r="I31" s="141"/>
      <c r="J31" s="141"/>
      <c r="K31" s="53">
        <v>1</v>
      </c>
      <c r="L31" s="56" t="s">
        <v>10</v>
      </c>
      <c r="M31" s="45"/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Пономарев Денис</v>
      </c>
      <c r="D32" s="141"/>
      <c r="E32" s="142"/>
      <c r="F32" s="54">
        <v>5</v>
      </c>
      <c r="G32" s="55">
        <v>13</v>
      </c>
      <c r="H32" s="143" t="str">
        <f ca="1">IF(ISBLANK(INDIRECT(ADDRESS(K32*2+2,3))),"",INDIRECT(ADDRESS(K32*2+2,3)))</f>
        <v>Хмылев Юрий</v>
      </c>
      <c r="I32" s="141"/>
      <c r="J32" s="141"/>
      <c r="K32" s="53">
        <v>5</v>
      </c>
      <c r="L32" s="56" t="s">
        <v>10</v>
      </c>
      <c r="M32" s="45"/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Шилов Александр</v>
      </c>
      <c r="D35" s="141"/>
      <c r="E35" s="142"/>
      <c r="F35" s="54">
        <v>5</v>
      </c>
      <c r="G35" s="55">
        <v>13</v>
      </c>
      <c r="H35" s="143" t="str">
        <f ca="1">IF(ISBLANK(INDIRECT(ADDRESS(K35*2+2,3))),"",INDIRECT(ADDRESS(K35*2+2,3)))</f>
        <v>Хмылев Юрий</v>
      </c>
      <c r="I35" s="141"/>
      <c r="J35" s="141"/>
      <c r="K35" s="53">
        <v>5</v>
      </c>
      <c r="L35" s="56" t="s">
        <v>10</v>
      </c>
      <c r="M35" s="45"/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Бобков Василий</v>
      </c>
      <c r="D36" s="141"/>
      <c r="E36" s="142"/>
      <c r="F36" s="54">
        <v>12</v>
      </c>
      <c r="G36" s="55">
        <v>11</v>
      </c>
      <c r="H36" s="143" t="str">
        <f ca="1">IF(ISBLANK(INDIRECT(ADDRESS(K36*2+2,3))),"",INDIRECT(ADDRESS(K36*2+2,3)))</f>
        <v>Пономарев Денис</v>
      </c>
      <c r="I36" s="141"/>
      <c r="J36" s="141"/>
      <c r="K36" s="53">
        <v>4</v>
      </c>
      <c r="L36" s="56" t="s">
        <v>10</v>
      </c>
      <c r="M36" s="45"/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Коваль Василий</v>
      </c>
      <c r="D37" s="141"/>
      <c r="E37" s="142"/>
      <c r="F37" s="54">
        <v>11</v>
      </c>
      <c r="G37" s="55">
        <v>13</v>
      </c>
      <c r="H37" s="143" t="str">
        <f ca="1">IF(ISBLANK(INDIRECT(ADDRESS(K37*2+2,3))),"",INDIRECT(ADDRESS(K37*2+2,3)))</f>
        <v>Петренко Евгений</v>
      </c>
      <c r="I37" s="141"/>
      <c r="J37" s="141"/>
      <c r="K37" s="53">
        <v>3</v>
      </c>
      <c r="L37" s="56" t="s">
        <v>10</v>
      </c>
      <c r="M37" s="45"/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Петренко Евгений</v>
      </c>
      <c r="D40" s="141"/>
      <c r="E40" s="142"/>
      <c r="F40" s="54">
        <v>10</v>
      </c>
      <c r="G40" s="55">
        <v>13</v>
      </c>
      <c r="H40" s="143" t="str">
        <f ca="1">IF(ISBLANK(INDIRECT(ADDRESS(K40*2+2,3))),"",INDIRECT(ADDRESS(K40*2+2,3)))</f>
        <v>Шилов Александр</v>
      </c>
      <c r="I40" s="141"/>
      <c r="J40" s="141"/>
      <c r="K40" s="53">
        <v>6</v>
      </c>
      <c r="L40" s="56" t="s">
        <v>10</v>
      </c>
      <c r="M40" s="45"/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Пономарев Денис</v>
      </c>
      <c r="D41" s="141"/>
      <c r="E41" s="142"/>
      <c r="F41" s="54">
        <v>12</v>
      </c>
      <c r="G41" s="55">
        <v>13</v>
      </c>
      <c r="H41" s="143" t="str">
        <f ca="1">IF(ISBLANK(INDIRECT(ADDRESS(K41*2+2,3))),"",INDIRECT(ADDRESS(K41*2+2,3)))</f>
        <v>Коваль Василий</v>
      </c>
      <c r="I41" s="141"/>
      <c r="J41" s="141"/>
      <c r="K41" s="53">
        <v>2</v>
      </c>
      <c r="L41" s="56" t="s">
        <v>10</v>
      </c>
      <c r="M41" s="45"/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Хмылев Юрий</v>
      </c>
      <c r="D42" s="141"/>
      <c r="E42" s="142"/>
      <c r="F42" s="54">
        <v>13</v>
      </c>
      <c r="G42" s="55">
        <v>6</v>
      </c>
      <c r="H42" s="143" t="str">
        <f ca="1">IF(ISBLANK(INDIRECT(ADDRESS(K42*2+2,3))),"",INDIRECT(ADDRESS(K42*2+2,3)))</f>
        <v>Бобков Василий</v>
      </c>
      <c r="I42" s="141"/>
      <c r="J42" s="141"/>
      <c r="K42" s="53">
        <v>1</v>
      </c>
      <c r="L42" s="56" t="s">
        <v>10</v>
      </c>
      <c r="M42" s="45"/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14" sqref="C14:E15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31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45676</v>
      </c>
    </row>
    <row r="2" spans="2:14" ht="15.75" thickBot="1" x14ac:dyDescent="0.3">
      <c r="M2"/>
    </row>
    <row r="3" spans="2:14" ht="30" customHeight="1" thickBot="1" x14ac:dyDescent="0.3">
      <c r="B3" s="59"/>
      <c r="C3" s="163" t="s">
        <v>53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96" t="s">
        <v>54</v>
      </c>
      <c r="D4" s="97"/>
      <c r="E4" s="98"/>
      <c r="F4" s="10" t="s">
        <v>30</v>
      </c>
      <c r="G4" s="6" t="str">
        <f ca="1">INDIRECT(ADDRESS(27,6))&amp;":"&amp;INDIRECT(ADDRESS(27,7))</f>
        <v>11:13</v>
      </c>
      <c r="H4" s="6" t="str">
        <f ca="1">INDIRECT(ADDRESS(31,7))&amp;":"&amp;INDIRECT(ADDRESS(31,6))</f>
        <v>13:9</v>
      </c>
      <c r="I4" s="6" t="str">
        <f ca="1">INDIRECT(ADDRESS(36,6))&amp;":"&amp;INDIRECT(ADDRESS(36,7))</f>
        <v>9:13</v>
      </c>
      <c r="J4" s="6" t="str">
        <f ca="1">INDIRECT(ADDRESS(42,7))&amp;":"&amp;INDIRECT(ADDRESS(42,6))</f>
        <v>13:11</v>
      </c>
      <c r="K4" s="20" t="str">
        <f ca="1">INDIRECT(ADDRESS(20,6))&amp;":"&amp;INDIRECT(ADDRESS(20,7))</f>
        <v>5:13</v>
      </c>
      <c r="L4" s="151">
        <f ca="1">IF(COUNT(F5:K5)=0,"",COUNTIF(F5:K5,"&gt;0")+0.5*COUNTIF(F5:K5,0))</f>
        <v>2</v>
      </c>
      <c r="M4" s="23"/>
      <c r="N4" s="88">
        <v>5</v>
      </c>
    </row>
    <row r="5" spans="2:14" ht="24" customHeight="1" x14ac:dyDescent="0.25">
      <c r="B5" s="95"/>
      <c r="C5" s="99"/>
      <c r="D5" s="100"/>
      <c r="E5" s="101"/>
      <c r="F5" s="13" t="s">
        <v>30</v>
      </c>
      <c r="G5" s="16">
        <f ca="1">IF(LEN(INDIRECT(ADDRESS(ROW()-1, COLUMN())))=1,"",INDIRECT(ADDRESS(27,6))-INDIRECT(ADDRESS(27,7)))</f>
        <v>-2</v>
      </c>
      <c r="H5" s="16">
        <f ca="1">IF(LEN(INDIRECT(ADDRESS(ROW()-1, COLUMN())))=1,"",INDIRECT(ADDRESS(31,7))-INDIRECT(ADDRESS(31,6)))</f>
        <v>4</v>
      </c>
      <c r="I5" s="16">
        <f ca="1">IF(LEN(INDIRECT(ADDRESS(ROW()-1, COLUMN())))=1,"",INDIRECT(ADDRESS(36,6))-INDIRECT(ADDRESS(36,7)))</f>
        <v>-4</v>
      </c>
      <c r="J5" s="16">
        <f ca="1">IF(LEN(INDIRECT(ADDRESS(ROW()-1, COLUMN())))=1,"",INDIRECT(ADDRESS(42,7))-INDIRECT(ADDRESS(42,6)))</f>
        <v>2</v>
      </c>
      <c r="K5" s="17">
        <f ca="1">IF(LEN(INDIRECT(ADDRESS(ROW()-1, COLUMN())))=1,"",INDIRECT(ADDRESS(20,6))-INDIRECT(ADDRESS(20,7)))</f>
        <v>-8</v>
      </c>
      <c r="L5" s="144"/>
      <c r="M5" s="16">
        <f ca="1">IF(COUNT(F5:K5)=0,"",SUM(F5:K5))</f>
        <v>-8</v>
      </c>
      <c r="N5" s="89"/>
    </row>
    <row r="6" spans="2:14" ht="24" customHeight="1" x14ac:dyDescent="0.25">
      <c r="B6" s="104">
        <v>2</v>
      </c>
      <c r="C6" s="99" t="s">
        <v>55</v>
      </c>
      <c r="D6" s="100"/>
      <c r="E6" s="101"/>
      <c r="F6" s="12" t="str">
        <f ca="1">INDIRECT(ADDRESS(27,7))&amp;":"&amp;INDIRECT(ADDRESS(27,6))</f>
        <v>13:11</v>
      </c>
      <c r="G6" s="8" t="s">
        <v>30</v>
      </c>
      <c r="H6" s="7" t="str">
        <f ca="1">INDIRECT(ADDRESS(37,6))&amp;":"&amp;INDIRECT(ADDRESS(37,7))</f>
        <v>13:10</v>
      </c>
      <c r="I6" s="7" t="str">
        <f ca="1">INDIRECT(ADDRESS(41,7))&amp;":"&amp;INDIRECT(ADDRESS(41,6))</f>
        <v>10:13</v>
      </c>
      <c r="J6" s="7" t="str">
        <f ca="1">INDIRECT(ADDRESS(21,6))&amp;":"&amp;INDIRECT(ADDRESS(21,7))</f>
        <v>6:13</v>
      </c>
      <c r="K6" s="11" t="str">
        <f ca="1">INDIRECT(ADDRESS(30,6))&amp;":"&amp;INDIRECT(ADDRESS(30,7))</f>
        <v>10:13</v>
      </c>
      <c r="L6" s="144">
        <f ca="1">IF(COUNT(F7:K7)=0,"",COUNTIF(F7:K7,"&gt;0")+0.5*COUNTIF(F7:K7,0))</f>
        <v>2</v>
      </c>
      <c r="M6" s="16"/>
      <c r="N6" s="110">
        <v>4</v>
      </c>
    </row>
    <row r="7" spans="2:14" ht="24" customHeight="1" x14ac:dyDescent="0.25">
      <c r="B7" s="95"/>
      <c r="C7" s="99"/>
      <c r="D7" s="100"/>
      <c r="E7" s="101"/>
      <c r="F7" s="22">
        <f ca="1">IF(LEN(INDIRECT(ADDRESS(ROW()-1, COLUMN())))=1,"",INDIRECT(ADDRESS(27,7))-INDIRECT(ADDRESS(27,6)))</f>
        <v>2</v>
      </c>
      <c r="G7" s="14" t="s">
        <v>30</v>
      </c>
      <c r="H7" s="16">
        <f ca="1">IF(LEN(INDIRECT(ADDRESS(ROW()-1, COLUMN())))=1,"",INDIRECT(ADDRESS(37,6))-INDIRECT(ADDRESS(37,7)))</f>
        <v>3</v>
      </c>
      <c r="I7" s="16">
        <f ca="1">IF(LEN(INDIRECT(ADDRESS(ROW()-1, COLUMN())))=1,"",INDIRECT(ADDRESS(41,7))-INDIRECT(ADDRESS(41,6)))</f>
        <v>-3</v>
      </c>
      <c r="J7" s="16">
        <f ca="1">IF(LEN(INDIRECT(ADDRESS(ROW()-1, COLUMN())))=1,"",INDIRECT(ADDRESS(21,6))-INDIRECT(ADDRESS(21,7)))</f>
        <v>-7</v>
      </c>
      <c r="K7" s="17">
        <f ca="1">IF(LEN(INDIRECT(ADDRESS(ROW()-1, COLUMN())))=1,"",INDIRECT(ADDRESS(30,6))-INDIRECT(ADDRESS(30,7)))</f>
        <v>-3</v>
      </c>
      <c r="L7" s="144"/>
      <c r="M7" s="16">
        <f ca="1">IF(COUNT(F7:K7)=0,"",SUM(F7:K7))</f>
        <v>-8</v>
      </c>
      <c r="N7" s="89"/>
    </row>
    <row r="8" spans="2:14" ht="24" customHeight="1" x14ac:dyDescent="0.25">
      <c r="B8" s="104">
        <v>3</v>
      </c>
      <c r="C8" s="99" t="s">
        <v>56</v>
      </c>
      <c r="D8" s="100"/>
      <c r="E8" s="101"/>
      <c r="F8" s="12" t="str">
        <f ca="1">INDIRECT(ADDRESS(31,6))&amp;":"&amp;INDIRECT(ADDRESS(31,7))</f>
        <v>9:13</v>
      </c>
      <c r="G8" s="7" t="str">
        <f ca="1">INDIRECT(ADDRESS(37,7))&amp;":"&amp;INDIRECT(ADDRESS(37,6))</f>
        <v>10:13</v>
      </c>
      <c r="H8" s="8" t="s">
        <v>30</v>
      </c>
      <c r="I8" s="7" t="str">
        <f ca="1">INDIRECT(ADDRESS(22,6))&amp;":"&amp;INDIRECT(ADDRESS(22,7))</f>
        <v>12:7</v>
      </c>
      <c r="J8" s="7" t="str">
        <f ca="1">INDIRECT(ADDRESS(26,7))&amp;":"&amp;INDIRECT(ADDRESS(26,6))</f>
        <v>6:13</v>
      </c>
      <c r="K8" s="11" t="str">
        <f ca="1">INDIRECT(ADDRESS(40,6))&amp;":"&amp;INDIRECT(ADDRESS(40,7))</f>
        <v>11:13</v>
      </c>
      <c r="L8" s="144">
        <f ca="1">IF(COUNT(F9:K9)=0,"",COUNTIF(F9:K9,"&gt;0")+0.5*COUNTIF(F9:K9,0))</f>
        <v>1</v>
      </c>
      <c r="M8" s="16"/>
      <c r="N8" s="110">
        <v>6</v>
      </c>
    </row>
    <row r="9" spans="2:14" ht="24" customHeight="1" x14ac:dyDescent="0.25">
      <c r="B9" s="95"/>
      <c r="C9" s="99"/>
      <c r="D9" s="100"/>
      <c r="E9" s="101"/>
      <c r="F9" s="22">
        <f ca="1">IF(LEN(INDIRECT(ADDRESS(ROW()-1, COLUMN())))=1,"",INDIRECT(ADDRESS(31,6))-INDIRECT(ADDRESS(31,7)))</f>
        <v>-4</v>
      </c>
      <c r="G9" s="16">
        <f ca="1">IF(LEN(INDIRECT(ADDRESS(ROW()-1, COLUMN())))=1,"",INDIRECT(ADDRESS(37,7))-INDIRECT(ADDRESS(37,6)))</f>
        <v>-3</v>
      </c>
      <c r="H9" s="14" t="s">
        <v>30</v>
      </c>
      <c r="I9" s="16">
        <f ca="1">IF(LEN(INDIRECT(ADDRESS(ROW()-1, COLUMN())))=1,"",INDIRECT(ADDRESS(22,6))-INDIRECT(ADDRESS(22,7)))</f>
        <v>5</v>
      </c>
      <c r="J9" s="16">
        <f ca="1">IF(LEN(INDIRECT(ADDRESS(ROW()-1, COLUMN())))=1,"",INDIRECT(ADDRESS(26,7))-INDIRECT(ADDRESS(26,6)))</f>
        <v>-7</v>
      </c>
      <c r="K9" s="17">
        <f ca="1">IF(LEN(INDIRECT(ADDRESS(ROW()-1, COLUMN())))=1,"",INDIRECT(ADDRESS(40,6))-INDIRECT(ADDRESS(40,7)))</f>
        <v>-2</v>
      </c>
      <c r="L9" s="144"/>
      <c r="M9" s="16">
        <f ca="1">IF(COUNT(F9:K9)=0,"",SUM(F9:K9))</f>
        <v>-11</v>
      </c>
      <c r="N9" s="89"/>
    </row>
    <row r="10" spans="2:14" ht="24" customHeight="1" x14ac:dyDescent="0.25">
      <c r="B10" s="152">
        <v>4</v>
      </c>
      <c r="C10" s="105" t="s">
        <v>57</v>
      </c>
      <c r="D10" s="106"/>
      <c r="E10" s="107"/>
      <c r="F10" s="65" t="str">
        <f ca="1">INDIRECT(ADDRESS(36,7))&amp;":"&amp;INDIRECT(ADDRESS(36,6))</f>
        <v>13:9</v>
      </c>
      <c r="G10" s="66" t="str">
        <f ca="1">INDIRECT(ADDRESS(41,6))&amp;":"&amp;INDIRECT(ADDRESS(41,7))</f>
        <v>13:10</v>
      </c>
      <c r="H10" s="66" t="str">
        <f ca="1">INDIRECT(ADDRESS(22,7))&amp;":"&amp;INDIRECT(ADDRESS(22,6))</f>
        <v>7:12</v>
      </c>
      <c r="I10" s="8" t="s">
        <v>30</v>
      </c>
      <c r="J10" s="66" t="str">
        <f ca="1">INDIRECT(ADDRESS(32,6))&amp;":"&amp;INDIRECT(ADDRESS(32,7))</f>
        <v>13:7</v>
      </c>
      <c r="K10" s="40" t="str">
        <f ca="1">INDIRECT(ADDRESS(25,7))&amp;":"&amp;INDIRECT(ADDRESS(25,6))</f>
        <v>10:13</v>
      </c>
      <c r="L10" s="157">
        <f ca="1">IF(COUNT(F11:K11)=0,"",COUNTIF(F11:K11,"&gt;0")+0.5*COUNTIF(F11:K11,0))</f>
        <v>3</v>
      </c>
      <c r="M10" s="63"/>
      <c r="N10" s="159">
        <v>2</v>
      </c>
    </row>
    <row r="11" spans="2:14" ht="24" customHeight="1" x14ac:dyDescent="0.25">
      <c r="B11" s="161"/>
      <c r="C11" s="105"/>
      <c r="D11" s="106"/>
      <c r="E11" s="107"/>
      <c r="F11" s="67">
        <f ca="1">IF(LEN(INDIRECT(ADDRESS(ROW()-1, COLUMN())))=1,"",INDIRECT(ADDRESS(36,7))-INDIRECT(ADDRESS(36,6)))</f>
        <v>4</v>
      </c>
      <c r="G11" s="63">
        <f ca="1">IF(LEN(INDIRECT(ADDRESS(ROW()-1, COLUMN())))=1,"",INDIRECT(ADDRESS(41,6))-INDIRECT(ADDRESS(41,7)))</f>
        <v>3</v>
      </c>
      <c r="H11" s="63">
        <f ca="1">IF(LEN(INDIRECT(ADDRESS(ROW()-1, COLUMN())))=1,"",INDIRECT(ADDRESS(22,7))-INDIRECT(ADDRESS(22,6)))</f>
        <v>-5</v>
      </c>
      <c r="I11" s="14" t="s">
        <v>30</v>
      </c>
      <c r="J11" s="63">
        <f ca="1">IF(LEN(INDIRECT(ADDRESS(ROW()-1, COLUMN())))=1,"",INDIRECT(ADDRESS(32,6))-INDIRECT(ADDRESS(32,7)))</f>
        <v>6</v>
      </c>
      <c r="K11" s="64">
        <f ca="1">IF(LEN(INDIRECT(ADDRESS(ROW()-1, COLUMN())))=1,"",INDIRECT(ADDRESS(25,7))-INDIRECT(ADDRESS(25,6)))</f>
        <v>-3</v>
      </c>
      <c r="L11" s="157"/>
      <c r="M11" s="63">
        <f ca="1">IF(COUNT(F11:K11)=0,"",SUM(F11:K11))</f>
        <v>5</v>
      </c>
      <c r="N11" s="162"/>
    </row>
    <row r="12" spans="2:14" ht="24" customHeight="1" x14ac:dyDescent="0.25">
      <c r="B12" s="152">
        <v>5</v>
      </c>
      <c r="C12" s="126" t="s">
        <v>58</v>
      </c>
      <c r="D12" s="127"/>
      <c r="E12" s="128"/>
      <c r="F12" s="65" t="str">
        <f ca="1">INDIRECT(ADDRESS(42,6))&amp;":"&amp;INDIRECT(ADDRESS(42,7))</f>
        <v>11:13</v>
      </c>
      <c r="G12" s="66" t="str">
        <f ca="1">INDIRECT(ADDRESS(21,7))&amp;":"&amp;INDIRECT(ADDRESS(21,6))</f>
        <v>13:6</v>
      </c>
      <c r="H12" s="66" t="str">
        <f ca="1">INDIRECT(ADDRESS(26,6))&amp;":"&amp;INDIRECT(ADDRESS(26,7))</f>
        <v>13:6</v>
      </c>
      <c r="I12" s="66" t="str">
        <f ca="1">INDIRECT(ADDRESS(32,7))&amp;":"&amp;INDIRECT(ADDRESS(32,6))</f>
        <v>7:13</v>
      </c>
      <c r="J12" s="8" t="s">
        <v>30</v>
      </c>
      <c r="K12" s="40" t="str">
        <f ca="1">INDIRECT(ADDRESS(35,7))&amp;":"&amp;INDIRECT(ADDRESS(35,6))</f>
        <v>13:7</v>
      </c>
      <c r="L12" s="157">
        <f ca="1">IF(COUNT(F13:K13)=0,"",COUNTIF(F13:K13,"&gt;0")+0.5*COUNTIF(F13:K13,0))</f>
        <v>3</v>
      </c>
      <c r="M12" s="63"/>
      <c r="N12" s="159">
        <v>3</v>
      </c>
    </row>
    <row r="13" spans="2:14" ht="24" customHeight="1" x14ac:dyDescent="0.25">
      <c r="B13" s="161"/>
      <c r="C13" s="126"/>
      <c r="D13" s="127"/>
      <c r="E13" s="128"/>
      <c r="F13" s="67">
        <f ca="1">IF(LEN(INDIRECT(ADDRESS(ROW()-1, COLUMN())))=1,"",INDIRECT(ADDRESS(42,6))-INDIRECT(ADDRESS(42,7)))</f>
        <v>-2</v>
      </c>
      <c r="G13" s="63">
        <f ca="1">IF(LEN(INDIRECT(ADDRESS(ROW()-1, COLUMN())))=1,"",INDIRECT(ADDRESS(21,7))-INDIRECT(ADDRESS(21,6)))</f>
        <v>7</v>
      </c>
      <c r="H13" s="63">
        <f ca="1">IF(LEN(INDIRECT(ADDRESS(ROW()-1, COLUMN())))=1,"",INDIRECT(ADDRESS(26,6))-INDIRECT(ADDRESS(26,7)))</f>
        <v>7</v>
      </c>
      <c r="I13" s="63">
        <f ca="1">IF(LEN(INDIRECT(ADDRESS(ROW()-1, COLUMN())))=1,"",INDIRECT(ADDRESS(32,7))-INDIRECT(ADDRESS(32,6)))</f>
        <v>-6</v>
      </c>
      <c r="J13" s="14" t="s">
        <v>30</v>
      </c>
      <c r="K13" s="64">
        <f ca="1">IF(LEN(INDIRECT(ADDRESS(ROW()-1, COLUMN())))=1,"",INDIRECT(ADDRESS(35,7))-INDIRECT(ADDRESS(35,6)))</f>
        <v>6</v>
      </c>
      <c r="L13" s="157"/>
      <c r="M13" s="63">
        <f ca="1">IF(COUNT(F13:K13)=0,"",SUM(F13:K13))</f>
        <v>12</v>
      </c>
      <c r="N13" s="162"/>
    </row>
    <row r="14" spans="2:14" ht="24" customHeight="1" x14ac:dyDescent="0.25">
      <c r="B14" s="152">
        <v>6</v>
      </c>
      <c r="C14" s="105" t="s">
        <v>59</v>
      </c>
      <c r="D14" s="106"/>
      <c r="E14" s="107"/>
      <c r="F14" s="65" t="str">
        <f ca="1">INDIRECT(ADDRESS(20,7))&amp;":"&amp;INDIRECT(ADDRESS(20,6))</f>
        <v>13:5</v>
      </c>
      <c r="G14" s="66" t="str">
        <f ca="1">INDIRECT(ADDRESS(30,7))&amp;":"&amp;INDIRECT(ADDRESS(30,6))</f>
        <v>13:10</v>
      </c>
      <c r="H14" s="66" t="str">
        <f ca="1">INDIRECT(ADDRESS(40,7))&amp;":"&amp;INDIRECT(ADDRESS(40,6))</f>
        <v>13:11</v>
      </c>
      <c r="I14" s="66" t="str">
        <f ca="1">INDIRECT(ADDRESS(25,6))&amp;":"&amp;INDIRECT(ADDRESS(25,7))</f>
        <v>13:10</v>
      </c>
      <c r="J14" s="66" t="str">
        <f ca="1">INDIRECT(ADDRESS(35,6))&amp;":"&amp;INDIRECT(ADDRESS(35,7))</f>
        <v>7:13</v>
      </c>
      <c r="K14" s="8" t="s">
        <v>30</v>
      </c>
      <c r="L14" s="157">
        <f ca="1">IF(COUNT(F15:K15)=0,"",COUNTIF(F15:K15,"&gt;0")+0.5*COUNTIF(F15:K15,0))</f>
        <v>4</v>
      </c>
      <c r="M14" s="63"/>
      <c r="N14" s="159">
        <v>1</v>
      </c>
    </row>
    <row r="15" spans="2:14" ht="24" customHeight="1" thickBot="1" x14ac:dyDescent="0.3">
      <c r="B15" s="153"/>
      <c r="C15" s="154"/>
      <c r="D15" s="155"/>
      <c r="E15" s="156"/>
      <c r="F15" s="68">
        <f ca="1">IF(LEN(INDIRECT(ADDRESS(ROW()-1, COLUMN())))=1,"",INDIRECT(ADDRESS(20,7))-INDIRECT(ADDRESS(20,6)))</f>
        <v>8</v>
      </c>
      <c r="G15" s="69">
        <f ca="1">IF(LEN(INDIRECT(ADDRESS(ROW()-1, COLUMN())))=1,"",INDIRECT(ADDRESS(30,7))-INDIRECT(ADDRESS(30,6)))</f>
        <v>3</v>
      </c>
      <c r="H15" s="69">
        <f ca="1">IF(LEN(INDIRECT(ADDRESS(ROW()-1, COLUMN())))=1,"",INDIRECT(ADDRESS(40,7))-INDIRECT(ADDRESS(40,6)))</f>
        <v>2</v>
      </c>
      <c r="I15" s="69">
        <f ca="1">IF(LEN(INDIRECT(ADDRESS(ROW()-1, COLUMN())))=1,"",INDIRECT(ADDRESS(25,6))-INDIRECT(ADDRESS(25,7)))</f>
        <v>3</v>
      </c>
      <c r="J15" s="69">
        <f ca="1">IF(LEN(INDIRECT(ADDRESS(ROW()-1, COLUMN())))=1,"",INDIRECT(ADDRESS(35,6))-INDIRECT(ADDRESS(35,7)))</f>
        <v>-6</v>
      </c>
      <c r="K15" s="14" t="s">
        <v>30</v>
      </c>
      <c r="L15" s="158"/>
      <c r="M15" s="69">
        <f ca="1">IF(COUNT(F15:K15)=0,"",SUM(F15:K15))</f>
        <v>10</v>
      </c>
      <c r="N15" s="160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Андреев Юрий</v>
      </c>
      <c r="D20" s="141"/>
      <c r="E20" s="142"/>
      <c r="F20" s="54">
        <v>5</v>
      </c>
      <c r="G20" s="55">
        <v>13</v>
      </c>
      <c r="H20" s="143" t="str">
        <f ca="1">IF(ISBLANK(INDIRECT(ADDRESS(K20*2+2,3))),"",INDIRECT(ADDRESS(K20*2+2,3)))</f>
        <v>Багазеев Иван</v>
      </c>
      <c r="I20" s="141"/>
      <c r="J20" s="141"/>
      <c r="K20" s="53">
        <v>6</v>
      </c>
      <c r="L20" s="56" t="s">
        <v>10</v>
      </c>
      <c r="M20" s="60">
        <v>1</v>
      </c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Глинкин Андрей</v>
      </c>
      <c r="D21" s="141"/>
      <c r="E21" s="142"/>
      <c r="F21" s="54">
        <v>6</v>
      </c>
      <c r="G21" s="55">
        <v>13</v>
      </c>
      <c r="H21" s="143" t="str">
        <f ca="1">IF(ISBLANK(INDIRECT(ADDRESS(K21*2+2,3))),"",INDIRECT(ADDRESS(K21*2+2,3)))</f>
        <v>Ятченко Дмитрий</v>
      </c>
      <c r="I21" s="141"/>
      <c r="J21" s="141"/>
      <c r="K21" s="53">
        <v>5</v>
      </c>
      <c r="L21" s="56" t="s">
        <v>10</v>
      </c>
      <c r="M21" s="60">
        <v>2</v>
      </c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Шашин Сергей</v>
      </c>
      <c r="D22" s="141"/>
      <c r="E22" s="142"/>
      <c r="F22" s="54">
        <v>12</v>
      </c>
      <c r="G22" s="55">
        <v>7</v>
      </c>
      <c r="H22" s="143" t="str">
        <f ca="1">IF(ISBLANK(INDIRECT(ADDRESS(K22*2+2,3))),"",INDIRECT(ADDRESS(K22*2+2,3)))</f>
        <v>Гольдт Егор</v>
      </c>
      <c r="I22" s="141"/>
      <c r="J22" s="141"/>
      <c r="K22" s="53">
        <v>4</v>
      </c>
      <c r="L22" s="56" t="s">
        <v>10</v>
      </c>
      <c r="M22" s="60">
        <v>3</v>
      </c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Багазеев Иван</v>
      </c>
      <c r="D25" s="141"/>
      <c r="E25" s="142"/>
      <c r="F25" s="54">
        <v>13</v>
      </c>
      <c r="G25" s="55">
        <v>10</v>
      </c>
      <c r="H25" s="143" t="str">
        <f ca="1">IF(ISBLANK(INDIRECT(ADDRESS(K25*2+2,3))),"",INDIRECT(ADDRESS(K25*2+2,3)))</f>
        <v>Гольдт Егор</v>
      </c>
      <c r="I25" s="141"/>
      <c r="J25" s="141"/>
      <c r="K25" s="53">
        <v>4</v>
      </c>
      <c r="L25" s="56" t="s">
        <v>10</v>
      </c>
      <c r="M25" s="60">
        <v>3</v>
      </c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Ятченко Дмитрий</v>
      </c>
      <c r="D26" s="141"/>
      <c r="E26" s="142"/>
      <c r="F26" s="54">
        <v>13</v>
      </c>
      <c r="G26" s="55">
        <v>6</v>
      </c>
      <c r="H26" s="143" t="str">
        <f ca="1">IF(ISBLANK(INDIRECT(ADDRESS(K26*2+2,3))),"",INDIRECT(ADDRESS(K26*2+2,3)))</f>
        <v>Шашин Сергей</v>
      </c>
      <c r="I26" s="141"/>
      <c r="J26" s="141"/>
      <c r="K26" s="53">
        <v>3</v>
      </c>
      <c r="L26" s="56" t="s">
        <v>10</v>
      </c>
      <c r="M26" s="60">
        <v>1</v>
      </c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Андреев Юрий</v>
      </c>
      <c r="D27" s="141"/>
      <c r="E27" s="142"/>
      <c r="F27" s="54">
        <v>11</v>
      </c>
      <c r="G27" s="55">
        <v>13</v>
      </c>
      <c r="H27" s="143" t="str">
        <f ca="1">IF(ISBLANK(INDIRECT(ADDRESS(K27*2+2,3))),"",INDIRECT(ADDRESS(K27*2+2,3)))</f>
        <v>Глинкин Андрей</v>
      </c>
      <c r="I27" s="141"/>
      <c r="J27" s="141"/>
      <c r="K27" s="53">
        <v>2</v>
      </c>
      <c r="L27" s="56" t="s">
        <v>10</v>
      </c>
      <c r="M27" s="60">
        <v>2</v>
      </c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Глинкин Андрей</v>
      </c>
      <c r="D30" s="141"/>
      <c r="E30" s="142"/>
      <c r="F30" s="54">
        <v>10</v>
      </c>
      <c r="G30" s="55">
        <v>13</v>
      </c>
      <c r="H30" s="143" t="str">
        <f ca="1">IF(ISBLANK(INDIRECT(ADDRESS(K30*2+2,3))),"",INDIRECT(ADDRESS(K30*2+2,3)))</f>
        <v>Багазеев Иван</v>
      </c>
      <c r="I30" s="141"/>
      <c r="J30" s="141"/>
      <c r="K30" s="53">
        <v>6</v>
      </c>
      <c r="L30" s="56" t="s">
        <v>10</v>
      </c>
      <c r="M30" s="60">
        <v>2</v>
      </c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Шашин Сергей</v>
      </c>
      <c r="D31" s="141"/>
      <c r="E31" s="142"/>
      <c r="F31" s="54">
        <v>9</v>
      </c>
      <c r="G31" s="55">
        <v>13</v>
      </c>
      <c r="H31" s="143" t="str">
        <f ca="1">IF(ISBLANK(INDIRECT(ADDRESS(K31*2+2,3))),"",INDIRECT(ADDRESS(K31*2+2,3)))</f>
        <v>Андреев Юрий</v>
      </c>
      <c r="I31" s="141"/>
      <c r="J31" s="141"/>
      <c r="K31" s="53">
        <v>1</v>
      </c>
      <c r="L31" s="56" t="s">
        <v>10</v>
      </c>
      <c r="M31" s="60">
        <v>3</v>
      </c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Гольдт Егор</v>
      </c>
      <c r="D32" s="141"/>
      <c r="E32" s="142"/>
      <c r="F32" s="54">
        <v>13</v>
      </c>
      <c r="G32" s="55">
        <v>7</v>
      </c>
      <c r="H32" s="143" t="str">
        <f ca="1">IF(ISBLANK(INDIRECT(ADDRESS(K32*2+2,3))),"",INDIRECT(ADDRESS(K32*2+2,3)))</f>
        <v>Ятченко Дмитрий</v>
      </c>
      <c r="I32" s="141"/>
      <c r="J32" s="141"/>
      <c r="K32" s="53">
        <v>5</v>
      </c>
      <c r="L32" s="56" t="s">
        <v>10</v>
      </c>
      <c r="M32" s="60">
        <v>1</v>
      </c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Багазеев Иван</v>
      </c>
      <c r="D35" s="141"/>
      <c r="E35" s="142"/>
      <c r="F35" s="54">
        <v>7</v>
      </c>
      <c r="G35" s="55">
        <v>13</v>
      </c>
      <c r="H35" s="143" t="str">
        <f ca="1">IF(ISBLANK(INDIRECT(ADDRESS(K35*2+2,3))),"",INDIRECT(ADDRESS(K35*2+2,3)))</f>
        <v>Ятченко Дмитрий</v>
      </c>
      <c r="I35" s="141"/>
      <c r="J35" s="141"/>
      <c r="K35" s="53">
        <v>5</v>
      </c>
      <c r="L35" s="56" t="s">
        <v>10</v>
      </c>
      <c r="M35" s="60">
        <v>1</v>
      </c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Андреев Юрий</v>
      </c>
      <c r="D36" s="141"/>
      <c r="E36" s="142"/>
      <c r="F36" s="54">
        <v>9</v>
      </c>
      <c r="G36" s="55">
        <v>13</v>
      </c>
      <c r="H36" s="143" t="str">
        <f ca="1">IF(ISBLANK(INDIRECT(ADDRESS(K36*2+2,3))),"",INDIRECT(ADDRESS(K36*2+2,3)))</f>
        <v>Гольдт Егор</v>
      </c>
      <c r="I36" s="141"/>
      <c r="J36" s="141"/>
      <c r="K36" s="53">
        <v>4</v>
      </c>
      <c r="L36" s="56" t="s">
        <v>10</v>
      </c>
      <c r="M36" s="60">
        <v>2</v>
      </c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Глинкин Андрей</v>
      </c>
      <c r="D37" s="141"/>
      <c r="E37" s="142"/>
      <c r="F37" s="54">
        <v>13</v>
      </c>
      <c r="G37" s="55">
        <v>10</v>
      </c>
      <c r="H37" s="143" t="str">
        <f ca="1">IF(ISBLANK(INDIRECT(ADDRESS(K37*2+2,3))),"",INDIRECT(ADDRESS(K37*2+2,3)))</f>
        <v>Шашин Сергей</v>
      </c>
      <c r="I37" s="141"/>
      <c r="J37" s="141"/>
      <c r="K37" s="53">
        <v>3</v>
      </c>
      <c r="L37" s="56" t="s">
        <v>10</v>
      </c>
      <c r="M37" s="60">
        <v>3</v>
      </c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Шашин Сергей</v>
      </c>
      <c r="D40" s="141"/>
      <c r="E40" s="142"/>
      <c r="F40" s="54">
        <v>11</v>
      </c>
      <c r="G40" s="55">
        <v>13</v>
      </c>
      <c r="H40" s="143" t="str">
        <f ca="1">IF(ISBLANK(INDIRECT(ADDRESS(K40*2+2,3))),"",INDIRECT(ADDRESS(K40*2+2,3)))</f>
        <v>Багазеев Иван</v>
      </c>
      <c r="I40" s="141"/>
      <c r="J40" s="141"/>
      <c r="K40" s="53">
        <v>6</v>
      </c>
      <c r="L40" s="56" t="s">
        <v>10</v>
      </c>
      <c r="M40" s="60">
        <v>3</v>
      </c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Гольдт Егор</v>
      </c>
      <c r="D41" s="141"/>
      <c r="E41" s="142"/>
      <c r="F41" s="54">
        <v>13</v>
      </c>
      <c r="G41" s="55">
        <v>10</v>
      </c>
      <c r="H41" s="143" t="str">
        <f ca="1">IF(ISBLANK(INDIRECT(ADDRESS(K41*2+2,3))),"",INDIRECT(ADDRESS(K41*2+2,3)))</f>
        <v>Глинкин Андрей</v>
      </c>
      <c r="I41" s="141"/>
      <c r="J41" s="141"/>
      <c r="K41" s="53">
        <v>2</v>
      </c>
      <c r="L41" s="56" t="s">
        <v>10</v>
      </c>
      <c r="M41" s="60">
        <v>1</v>
      </c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Ятченко Дмитрий</v>
      </c>
      <c r="D42" s="141"/>
      <c r="E42" s="142"/>
      <c r="F42" s="54">
        <v>11</v>
      </c>
      <c r="G42" s="55">
        <v>13</v>
      </c>
      <c r="H42" s="143" t="str">
        <f ca="1">IF(ISBLANK(INDIRECT(ADDRESS(K42*2+2,3))),"",INDIRECT(ADDRESS(K42*2+2,3)))</f>
        <v>Андреев Юрий</v>
      </c>
      <c r="I42" s="141"/>
      <c r="J42" s="141"/>
      <c r="K42" s="53">
        <v>1</v>
      </c>
      <c r="L42" s="56" t="s">
        <v>10</v>
      </c>
      <c r="M42" s="60">
        <v>2</v>
      </c>
    </row>
  </sheetData>
  <mergeCells count="61">
    <mergeCell ref="C3:E3"/>
    <mergeCell ref="B4:B5"/>
    <mergeCell ref="C4:E5"/>
    <mergeCell ref="L4:L5"/>
    <mergeCell ref="N4:N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B34:K3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41:E41"/>
    <mergeCell ref="H41:J41"/>
    <mergeCell ref="C42:E42"/>
    <mergeCell ref="H42:J42"/>
    <mergeCell ref="B1:K1"/>
    <mergeCell ref="C36:E36"/>
    <mergeCell ref="H36:J36"/>
    <mergeCell ref="C37:E37"/>
    <mergeCell ref="H37:J37"/>
    <mergeCell ref="B39:K39"/>
    <mergeCell ref="C40:E40"/>
    <mergeCell ref="H40:J40"/>
    <mergeCell ref="C31:E31"/>
    <mergeCell ref="H31:J31"/>
    <mergeCell ref="C32:E32"/>
    <mergeCell ref="H32:J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18" sqref="D18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45669</v>
      </c>
    </row>
    <row r="2" spans="2:14" ht="15.75" thickBot="1" x14ac:dyDescent="0.3">
      <c r="M2"/>
    </row>
    <row r="3" spans="2:14" ht="30" customHeight="1" thickBot="1" x14ac:dyDescent="0.3">
      <c r="B3" s="49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64" t="s">
        <v>38</v>
      </c>
      <c r="D4" s="165"/>
      <c r="E4" s="166"/>
      <c r="F4" s="10" t="s">
        <v>30</v>
      </c>
      <c r="G4" s="6" t="str">
        <f ca="1">INDIRECT(ADDRESS(27,6))&amp;":"&amp;INDIRECT(ADDRESS(27,7))</f>
        <v>13:2</v>
      </c>
      <c r="H4" s="6" t="str">
        <f ca="1">INDIRECT(ADDRESS(31,7))&amp;":"&amp;INDIRECT(ADDRESS(31,6))</f>
        <v>8:13</v>
      </c>
      <c r="I4" s="6" t="str">
        <f ca="1">INDIRECT(ADDRESS(36,6))&amp;":"&amp;INDIRECT(ADDRESS(36,7))</f>
        <v>12:6</v>
      </c>
      <c r="J4" s="6" t="str">
        <f ca="1">INDIRECT(ADDRESS(42,7))&amp;":"&amp;INDIRECT(ADDRESS(42,6))</f>
        <v>13:3</v>
      </c>
      <c r="K4" s="20" t="str">
        <f ca="1">INDIRECT(ADDRESS(20,6))&amp;":"&amp;INDIRECT(ADDRESS(20,7))</f>
        <v>13:6</v>
      </c>
      <c r="L4" s="151">
        <f ca="1">IF(COUNT(F5:K5)=0,"",COUNTIF(F5:K5,"&gt;0")+0.5*COUNTIF(F5:K5,0))</f>
        <v>4</v>
      </c>
      <c r="M4" s="23"/>
      <c r="N4" s="88">
        <v>1</v>
      </c>
    </row>
    <row r="5" spans="2:14" ht="24" customHeight="1" x14ac:dyDescent="0.25">
      <c r="B5" s="95"/>
      <c r="C5" s="105"/>
      <c r="D5" s="106"/>
      <c r="E5" s="107"/>
      <c r="F5" s="13" t="s">
        <v>30</v>
      </c>
      <c r="G5" s="16">
        <f ca="1">IF(LEN(INDIRECT(ADDRESS(ROW()-1, COLUMN())))=1,"",INDIRECT(ADDRESS(27,6))-INDIRECT(ADDRESS(27,7)))</f>
        <v>11</v>
      </c>
      <c r="H5" s="16">
        <f ca="1">IF(LEN(INDIRECT(ADDRESS(ROW()-1, COLUMN())))=1,"",INDIRECT(ADDRESS(31,7))-INDIRECT(ADDRESS(31,6)))</f>
        <v>-5</v>
      </c>
      <c r="I5" s="16">
        <f ca="1">IF(LEN(INDIRECT(ADDRESS(ROW()-1, COLUMN())))=1,"",INDIRECT(ADDRESS(36,6))-INDIRECT(ADDRESS(36,7)))</f>
        <v>6</v>
      </c>
      <c r="J5" s="16">
        <f ca="1">IF(LEN(INDIRECT(ADDRESS(ROW()-1, COLUMN())))=1,"",INDIRECT(ADDRESS(42,7))-INDIRECT(ADDRESS(42,6)))</f>
        <v>10</v>
      </c>
      <c r="K5" s="17">
        <f ca="1">IF(LEN(INDIRECT(ADDRESS(ROW()-1, COLUMN())))=1,"",INDIRECT(ADDRESS(20,6))-INDIRECT(ADDRESS(20,7)))</f>
        <v>7</v>
      </c>
      <c r="L5" s="144"/>
      <c r="M5" s="16">
        <f ca="1">IF(COUNT(F5:K5)=0,"",SUM(F5:K5))</f>
        <v>29</v>
      </c>
      <c r="N5" s="89"/>
    </row>
    <row r="6" spans="2:14" ht="24" customHeight="1" x14ac:dyDescent="0.25">
      <c r="B6" s="104">
        <v>2</v>
      </c>
      <c r="C6" s="105" t="s">
        <v>39</v>
      </c>
      <c r="D6" s="106"/>
      <c r="E6" s="107"/>
      <c r="F6" s="12" t="str">
        <f ca="1">INDIRECT(ADDRESS(27,7))&amp;":"&amp;INDIRECT(ADDRESS(27,6))</f>
        <v>2:13</v>
      </c>
      <c r="G6" s="8" t="s">
        <v>30</v>
      </c>
      <c r="H6" s="7" t="str">
        <f ca="1">INDIRECT(ADDRESS(37,6))&amp;":"&amp;INDIRECT(ADDRESS(37,7))</f>
        <v>13:7</v>
      </c>
      <c r="I6" s="7" t="str">
        <f ca="1">INDIRECT(ADDRESS(41,7))&amp;":"&amp;INDIRECT(ADDRESS(41,6))</f>
        <v>13:8</v>
      </c>
      <c r="J6" s="7" t="str">
        <f ca="1">INDIRECT(ADDRESS(21,6))&amp;":"&amp;INDIRECT(ADDRESS(21,7))</f>
        <v>13:6</v>
      </c>
      <c r="K6" s="11" t="str">
        <f ca="1">INDIRECT(ADDRESS(30,6))&amp;":"&amp;INDIRECT(ADDRESS(30,7))</f>
        <v>13:12</v>
      </c>
      <c r="L6" s="144">
        <f ca="1">IF(COUNT(F7:K7)=0,"",COUNTIF(F7:K7,"&gt;0")+0.5*COUNTIF(F7:K7,0))</f>
        <v>4</v>
      </c>
      <c r="M6" s="16"/>
      <c r="N6" s="110">
        <v>2</v>
      </c>
    </row>
    <row r="7" spans="2:14" ht="24" customHeight="1" x14ac:dyDescent="0.25">
      <c r="B7" s="95"/>
      <c r="C7" s="105"/>
      <c r="D7" s="106"/>
      <c r="E7" s="107"/>
      <c r="F7" s="22">
        <f ca="1">IF(LEN(INDIRECT(ADDRESS(ROW()-1, COLUMN())))=1,"",INDIRECT(ADDRESS(27,7))-INDIRECT(ADDRESS(27,6)))</f>
        <v>-11</v>
      </c>
      <c r="G7" s="14" t="s">
        <v>30</v>
      </c>
      <c r="H7" s="16">
        <f ca="1">IF(LEN(INDIRECT(ADDRESS(ROW()-1, COLUMN())))=1,"",INDIRECT(ADDRESS(37,6))-INDIRECT(ADDRESS(37,7)))</f>
        <v>6</v>
      </c>
      <c r="I7" s="16">
        <f ca="1">IF(LEN(INDIRECT(ADDRESS(ROW()-1, COLUMN())))=1,"",INDIRECT(ADDRESS(41,7))-INDIRECT(ADDRESS(41,6)))</f>
        <v>5</v>
      </c>
      <c r="J7" s="16">
        <f ca="1">IF(LEN(INDIRECT(ADDRESS(ROW()-1, COLUMN())))=1,"",INDIRECT(ADDRESS(21,6))-INDIRECT(ADDRESS(21,7)))</f>
        <v>7</v>
      </c>
      <c r="K7" s="17">
        <f ca="1">IF(LEN(INDIRECT(ADDRESS(ROW()-1, COLUMN())))=1,"",INDIRECT(ADDRESS(30,6))-INDIRECT(ADDRESS(30,7)))</f>
        <v>1</v>
      </c>
      <c r="L7" s="144"/>
      <c r="M7" s="16">
        <f ca="1">IF(COUNT(F7:K7)=0,"",SUM(F7:K7))</f>
        <v>8</v>
      </c>
      <c r="N7" s="89"/>
    </row>
    <row r="8" spans="2:14" ht="24" customHeight="1" x14ac:dyDescent="0.25">
      <c r="B8" s="104">
        <v>3</v>
      </c>
      <c r="C8" s="126" t="s">
        <v>40</v>
      </c>
      <c r="D8" s="127"/>
      <c r="E8" s="128"/>
      <c r="F8" s="12" t="str">
        <f ca="1">INDIRECT(ADDRESS(31,6))&amp;":"&amp;INDIRECT(ADDRESS(31,7))</f>
        <v>13:8</v>
      </c>
      <c r="G8" s="7" t="str">
        <f ca="1">INDIRECT(ADDRESS(37,7))&amp;":"&amp;INDIRECT(ADDRESS(37,6))</f>
        <v>7:13</v>
      </c>
      <c r="H8" s="8" t="s">
        <v>30</v>
      </c>
      <c r="I8" s="7" t="str">
        <f ca="1">INDIRECT(ADDRESS(22,6))&amp;":"&amp;INDIRECT(ADDRESS(22,7))</f>
        <v>13:5</v>
      </c>
      <c r="J8" s="7" t="str">
        <f ca="1">INDIRECT(ADDRESS(26,7))&amp;":"&amp;INDIRECT(ADDRESS(26,6))</f>
        <v>13:6</v>
      </c>
      <c r="K8" s="11" t="str">
        <f ca="1">INDIRECT(ADDRESS(40,6))&amp;":"&amp;INDIRECT(ADDRESS(40,7))</f>
        <v>11:12</v>
      </c>
      <c r="L8" s="144">
        <f ca="1">IF(COUNT(F9:K9)=0,"",COUNTIF(F9:K9,"&gt;0")+0.5*COUNTIF(F9:K9,0))</f>
        <v>3</v>
      </c>
      <c r="M8" s="16"/>
      <c r="N8" s="110">
        <v>3</v>
      </c>
    </row>
    <row r="9" spans="2:14" ht="24" customHeight="1" x14ac:dyDescent="0.25">
      <c r="B9" s="95"/>
      <c r="C9" s="126"/>
      <c r="D9" s="127"/>
      <c r="E9" s="128"/>
      <c r="F9" s="22">
        <f ca="1">IF(LEN(INDIRECT(ADDRESS(ROW()-1, COLUMN())))=1,"",INDIRECT(ADDRESS(31,6))-INDIRECT(ADDRESS(31,7)))</f>
        <v>5</v>
      </c>
      <c r="G9" s="16">
        <f ca="1">IF(LEN(INDIRECT(ADDRESS(ROW()-1, COLUMN())))=1,"",INDIRECT(ADDRESS(37,7))-INDIRECT(ADDRESS(37,6)))</f>
        <v>-6</v>
      </c>
      <c r="H9" s="14" t="s">
        <v>30</v>
      </c>
      <c r="I9" s="16">
        <f ca="1">IF(LEN(INDIRECT(ADDRESS(ROW()-1, COLUMN())))=1,"",INDIRECT(ADDRESS(22,6))-INDIRECT(ADDRESS(22,7)))</f>
        <v>8</v>
      </c>
      <c r="J9" s="16">
        <f ca="1">IF(LEN(INDIRECT(ADDRESS(ROW()-1, COLUMN())))=1,"",INDIRECT(ADDRESS(26,7))-INDIRECT(ADDRESS(26,6)))</f>
        <v>7</v>
      </c>
      <c r="K9" s="17">
        <f ca="1">IF(LEN(INDIRECT(ADDRESS(ROW()-1, COLUMN())))=1,"",INDIRECT(ADDRESS(40,6))-INDIRECT(ADDRESS(40,7)))</f>
        <v>-1</v>
      </c>
      <c r="L9" s="144"/>
      <c r="M9" s="16">
        <f ca="1">IF(COUNT(F9:K9)=0,"",SUM(F9:K9))</f>
        <v>13</v>
      </c>
      <c r="N9" s="89"/>
    </row>
    <row r="10" spans="2:14" ht="24" customHeight="1" x14ac:dyDescent="0.25">
      <c r="B10" s="104">
        <v>4</v>
      </c>
      <c r="C10" s="99" t="s">
        <v>41</v>
      </c>
      <c r="D10" s="100"/>
      <c r="E10" s="101"/>
      <c r="F10" s="12" t="str">
        <f ca="1">INDIRECT(ADDRESS(36,7))&amp;":"&amp;INDIRECT(ADDRESS(36,6))</f>
        <v>6:12</v>
      </c>
      <c r="G10" s="7" t="str">
        <f ca="1">INDIRECT(ADDRESS(41,6))&amp;":"&amp;INDIRECT(ADDRESS(41,7))</f>
        <v>8:13</v>
      </c>
      <c r="H10" s="7" t="str">
        <f ca="1">INDIRECT(ADDRESS(22,7))&amp;":"&amp;INDIRECT(ADDRESS(22,6))</f>
        <v>5:13</v>
      </c>
      <c r="I10" s="8" t="s">
        <v>30</v>
      </c>
      <c r="J10" s="7" t="str">
        <f ca="1">INDIRECT(ADDRESS(32,6))&amp;":"&amp;INDIRECT(ADDRESS(32,7))</f>
        <v>13:8</v>
      </c>
      <c r="K10" s="11" t="str">
        <f ca="1">INDIRECT(ADDRESS(25,7))&amp;":"&amp;INDIRECT(ADDRESS(25,6))</f>
        <v>13:8</v>
      </c>
      <c r="L10" s="144">
        <f ca="1">IF(COUNT(F11:K11)=0,"",COUNTIF(F11:K11,"&gt;0")+0.5*COUNTIF(F11:K11,0))</f>
        <v>2</v>
      </c>
      <c r="M10" s="16"/>
      <c r="N10" s="110">
        <v>4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-6</v>
      </c>
      <c r="G11" s="16">
        <f ca="1">IF(LEN(INDIRECT(ADDRESS(ROW()-1, COLUMN())))=1,"",INDIRECT(ADDRESS(41,6))-INDIRECT(ADDRESS(41,7)))</f>
        <v>-5</v>
      </c>
      <c r="H11" s="16">
        <f ca="1">IF(LEN(INDIRECT(ADDRESS(ROW()-1, COLUMN())))=1,"",INDIRECT(ADDRESS(22,7))-INDIRECT(ADDRESS(22,6)))</f>
        <v>-8</v>
      </c>
      <c r="I11" s="14" t="s">
        <v>30</v>
      </c>
      <c r="J11" s="16">
        <f ca="1">IF(LEN(INDIRECT(ADDRESS(ROW()-1, COLUMN())))=1,"",INDIRECT(ADDRESS(32,6))-INDIRECT(ADDRESS(32,7)))</f>
        <v>5</v>
      </c>
      <c r="K11" s="17">
        <f ca="1">IF(LEN(INDIRECT(ADDRESS(ROW()-1, COLUMN())))=1,"",INDIRECT(ADDRESS(25,7))-INDIRECT(ADDRESS(25,6)))</f>
        <v>5</v>
      </c>
      <c r="L11" s="144"/>
      <c r="M11" s="16">
        <f ca="1">IF(COUNT(F11:K11)=0,"",SUM(F11:K11))</f>
        <v>-9</v>
      </c>
      <c r="N11" s="89"/>
    </row>
    <row r="12" spans="2:14" ht="24" customHeight="1" x14ac:dyDescent="0.25">
      <c r="B12" s="104">
        <v>5</v>
      </c>
      <c r="C12" s="99" t="s">
        <v>42</v>
      </c>
      <c r="D12" s="100"/>
      <c r="E12" s="101"/>
      <c r="F12" s="12" t="str">
        <f ca="1">INDIRECT(ADDRESS(42,6))&amp;":"&amp;INDIRECT(ADDRESS(42,7))</f>
        <v>3:13</v>
      </c>
      <c r="G12" s="7" t="str">
        <f ca="1">INDIRECT(ADDRESS(21,7))&amp;":"&amp;INDIRECT(ADDRESS(21,6))</f>
        <v>6:13</v>
      </c>
      <c r="H12" s="7" t="str">
        <f ca="1">INDIRECT(ADDRESS(26,6))&amp;":"&amp;INDIRECT(ADDRESS(26,7))</f>
        <v>6:13</v>
      </c>
      <c r="I12" s="7" t="str">
        <f ca="1">INDIRECT(ADDRESS(32,7))&amp;":"&amp;INDIRECT(ADDRESS(32,6))</f>
        <v>8:13</v>
      </c>
      <c r="J12" s="8" t="s">
        <v>30</v>
      </c>
      <c r="K12" s="11" t="str">
        <f ca="1">INDIRECT(ADDRESS(35,7))&amp;":"&amp;INDIRECT(ADDRESS(35,6))</f>
        <v>13:8</v>
      </c>
      <c r="L12" s="144">
        <f ca="1">IF(COUNT(F13:K13)=0,"",COUNTIF(F13:K13,"&gt;0")+0.5*COUNTIF(F13:K13,0))</f>
        <v>1</v>
      </c>
      <c r="M12" s="16"/>
      <c r="N12" s="110">
        <v>5</v>
      </c>
    </row>
    <row r="13" spans="2:14" ht="24" customHeight="1" x14ac:dyDescent="0.25">
      <c r="B13" s="95"/>
      <c r="C13" s="99"/>
      <c r="D13" s="100"/>
      <c r="E13" s="101"/>
      <c r="F13" s="22">
        <f ca="1">IF(LEN(INDIRECT(ADDRESS(ROW()-1, COLUMN())))=1,"",INDIRECT(ADDRESS(42,6))-INDIRECT(ADDRESS(42,7)))</f>
        <v>-10</v>
      </c>
      <c r="G13" s="16">
        <f ca="1">IF(LEN(INDIRECT(ADDRESS(ROW()-1, COLUMN())))=1,"",INDIRECT(ADDRESS(21,7))-INDIRECT(ADDRESS(21,6)))</f>
        <v>-7</v>
      </c>
      <c r="H13" s="16">
        <f ca="1">IF(LEN(INDIRECT(ADDRESS(ROW()-1, COLUMN())))=1,"",INDIRECT(ADDRESS(26,6))-INDIRECT(ADDRESS(26,7)))</f>
        <v>-7</v>
      </c>
      <c r="I13" s="16">
        <f ca="1">IF(LEN(INDIRECT(ADDRESS(ROW()-1, COLUMN())))=1,"",INDIRECT(ADDRESS(32,7))-INDIRECT(ADDRESS(32,6)))</f>
        <v>-5</v>
      </c>
      <c r="J13" s="14" t="s">
        <v>30</v>
      </c>
      <c r="K13" s="17">
        <f ca="1">IF(LEN(INDIRECT(ADDRESS(ROW()-1, COLUMN())))=1,"",INDIRECT(ADDRESS(35,7))-INDIRECT(ADDRESS(35,6)))</f>
        <v>5</v>
      </c>
      <c r="L13" s="144"/>
      <c r="M13" s="16">
        <f ca="1">IF(COUNT(F13:K13)=0,"",SUM(F13:K13))</f>
        <v>-24</v>
      </c>
      <c r="N13" s="89"/>
    </row>
    <row r="14" spans="2:14" ht="24" customHeight="1" x14ac:dyDescent="0.25">
      <c r="B14" s="104">
        <v>6</v>
      </c>
      <c r="C14" s="99" t="s">
        <v>43</v>
      </c>
      <c r="D14" s="100"/>
      <c r="E14" s="101"/>
      <c r="F14" s="12" t="str">
        <f ca="1">INDIRECT(ADDRESS(20,7))&amp;":"&amp;INDIRECT(ADDRESS(20,6))</f>
        <v>6:13</v>
      </c>
      <c r="G14" s="7" t="str">
        <f ca="1">INDIRECT(ADDRESS(30,7))&amp;":"&amp;INDIRECT(ADDRESS(30,6))</f>
        <v>12:13</v>
      </c>
      <c r="H14" s="7" t="str">
        <f ca="1">INDIRECT(ADDRESS(40,7))&amp;":"&amp;INDIRECT(ADDRESS(40,6))</f>
        <v>12:11</v>
      </c>
      <c r="I14" s="7" t="str">
        <f ca="1">INDIRECT(ADDRESS(25,6))&amp;":"&amp;INDIRECT(ADDRESS(25,7))</f>
        <v>8:13</v>
      </c>
      <c r="J14" s="7" t="str">
        <f ca="1">INDIRECT(ADDRESS(35,6))&amp;":"&amp;INDIRECT(ADDRESS(35,7))</f>
        <v>8:13</v>
      </c>
      <c r="K14" s="50" t="s">
        <v>30</v>
      </c>
      <c r="L14" s="144">
        <f ca="1">IF(COUNT(F15:K15)=0,"",COUNTIF(F15:K15,"&gt;0")+0.5*COUNTIF(F15:K15,0))</f>
        <v>1</v>
      </c>
      <c r="M14" s="16"/>
      <c r="N14" s="110">
        <v>6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-7</v>
      </c>
      <c r="G15" s="18">
        <f ca="1">IF(LEN(INDIRECT(ADDRESS(ROW()-1, COLUMN())))=1,"",INDIRECT(ADDRESS(30,7))-INDIRECT(ADDRESS(30,6)))</f>
        <v>-1</v>
      </c>
      <c r="H15" s="18">
        <f ca="1">IF(LEN(INDIRECT(ADDRESS(ROW()-1, COLUMN())))=1,"",INDIRECT(ADDRESS(40,7))-INDIRECT(ADDRESS(40,6)))</f>
        <v>1</v>
      </c>
      <c r="I15" s="18">
        <f ca="1">IF(LEN(INDIRECT(ADDRESS(ROW()-1, COLUMN())))=1,"",INDIRECT(ADDRESS(25,6))-INDIRECT(ADDRESS(25,7)))</f>
        <v>-5</v>
      </c>
      <c r="J15" s="18">
        <f ca="1">IF(LEN(INDIRECT(ADDRESS(ROW()-1, COLUMN())))=1,"",INDIRECT(ADDRESS(35,6))-INDIRECT(ADDRESS(35,7)))</f>
        <v>-5</v>
      </c>
      <c r="K15" s="15" t="s">
        <v>30</v>
      </c>
      <c r="L15" s="145"/>
      <c r="M15" s="18">
        <f ca="1">IF(COUNT(F15:K15)=0,"",SUM(F15:K15))</f>
        <v>-17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Мишин</v>
      </c>
      <c r="D20" s="141"/>
      <c r="E20" s="142"/>
      <c r="F20" s="54">
        <v>13</v>
      </c>
      <c r="G20" s="55">
        <v>6</v>
      </c>
      <c r="H20" s="143" t="str">
        <f ca="1">IF(ISBLANK(INDIRECT(ADDRESS(K20*2+2,3))),"",INDIRECT(ADDRESS(K20*2+2,3)))</f>
        <v>Панфиленко</v>
      </c>
      <c r="I20" s="141"/>
      <c r="J20" s="141"/>
      <c r="K20" s="53">
        <v>6</v>
      </c>
      <c r="L20" s="56" t="s">
        <v>10</v>
      </c>
      <c r="M20" s="48">
        <v>1</v>
      </c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Северов</v>
      </c>
      <c r="D21" s="141"/>
      <c r="E21" s="142"/>
      <c r="F21" s="54">
        <v>13</v>
      </c>
      <c r="G21" s="55">
        <v>6</v>
      </c>
      <c r="H21" s="143" t="str">
        <f ca="1">IF(ISBLANK(INDIRECT(ADDRESS(K21*2+2,3))),"",INDIRECT(ADDRESS(K21*2+2,3)))</f>
        <v>Савельев</v>
      </c>
      <c r="I21" s="141"/>
      <c r="J21" s="141"/>
      <c r="K21" s="53">
        <v>5</v>
      </c>
      <c r="L21" s="56" t="s">
        <v>10</v>
      </c>
      <c r="M21" s="48">
        <v>2</v>
      </c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Смирнов</v>
      </c>
      <c r="D22" s="141"/>
      <c r="E22" s="142"/>
      <c r="F22" s="54">
        <v>13</v>
      </c>
      <c r="G22" s="55">
        <v>5</v>
      </c>
      <c r="H22" s="143" t="str">
        <f ca="1">IF(ISBLANK(INDIRECT(ADDRESS(K22*2+2,3))),"",INDIRECT(ADDRESS(K22*2+2,3)))</f>
        <v>Худяков</v>
      </c>
      <c r="I22" s="141"/>
      <c r="J22" s="141"/>
      <c r="K22" s="53">
        <v>4</v>
      </c>
      <c r="L22" s="56" t="s">
        <v>10</v>
      </c>
      <c r="M22" s="48">
        <v>3</v>
      </c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Панфиленко</v>
      </c>
      <c r="D25" s="141"/>
      <c r="E25" s="142"/>
      <c r="F25" s="54">
        <v>8</v>
      </c>
      <c r="G25" s="55">
        <v>13</v>
      </c>
      <c r="H25" s="143" t="str">
        <f ca="1">IF(ISBLANK(INDIRECT(ADDRESS(K25*2+2,3))),"",INDIRECT(ADDRESS(K25*2+2,3)))</f>
        <v>Худяков</v>
      </c>
      <c r="I25" s="141"/>
      <c r="J25" s="141"/>
      <c r="K25" s="53">
        <v>4</v>
      </c>
      <c r="L25" s="56" t="s">
        <v>10</v>
      </c>
      <c r="M25" s="48">
        <v>2</v>
      </c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Савельев</v>
      </c>
      <c r="D26" s="141"/>
      <c r="E26" s="142"/>
      <c r="F26" s="54">
        <v>6</v>
      </c>
      <c r="G26" s="55">
        <v>13</v>
      </c>
      <c r="H26" s="143" t="str">
        <f ca="1">IF(ISBLANK(INDIRECT(ADDRESS(K26*2+2,3))),"",INDIRECT(ADDRESS(K26*2+2,3)))</f>
        <v>Смирнов</v>
      </c>
      <c r="I26" s="141"/>
      <c r="J26" s="141"/>
      <c r="K26" s="53">
        <v>3</v>
      </c>
      <c r="L26" s="56" t="s">
        <v>10</v>
      </c>
      <c r="M26" s="48">
        <v>3</v>
      </c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Мишин</v>
      </c>
      <c r="D27" s="141"/>
      <c r="E27" s="142"/>
      <c r="F27" s="54">
        <v>13</v>
      </c>
      <c r="G27" s="55">
        <v>2</v>
      </c>
      <c r="H27" s="143" t="str">
        <f ca="1">IF(ISBLANK(INDIRECT(ADDRESS(K27*2+2,3))),"",INDIRECT(ADDRESS(K27*2+2,3)))</f>
        <v>Северов</v>
      </c>
      <c r="I27" s="141"/>
      <c r="J27" s="141"/>
      <c r="K27" s="53">
        <v>2</v>
      </c>
      <c r="L27" s="56" t="s">
        <v>10</v>
      </c>
      <c r="M27" s="48">
        <v>4</v>
      </c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Северов</v>
      </c>
      <c r="D30" s="141"/>
      <c r="E30" s="142"/>
      <c r="F30" s="54">
        <v>13</v>
      </c>
      <c r="G30" s="55">
        <v>12</v>
      </c>
      <c r="H30" s="143" t="str">
        <f ca="1">IF(ISBLANK(INDIRECT(ADDRESS(K30*2+2,3))),"",INDIRECT(ADDRESS(K30*2+2,3)))</f>
        <v>Панфиленко</v>
      </c>
      <c r="I30" s="141"/>
      <c r="J30" s="141"/>
      <c r="K30" s="53">
        <v>6</v>
      </c>
      <c r="L30" s="56" t="s">
        <v>10</v>
      </c>
      <c r="M30" s="48">
        <v>3</v>
      </c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Смирнов</v>
      </c>
      <c r="D31" s="141"/>
      <c r="E31" s="142"/>
      <c r="F31" s="54">
        <v>13</v>
      </c>
      <c r="G31" s="55">
        <v>8</v>
      </c>
      <c r="H31" s="143" t="str">
        <f ca="1">IF(ISBLANK(INDIRECT(ADDRESS(K31*2+2,3))),"",INDIRECT(ADDRESS(K31*2+2,3)))</f>
        <v>Мишин</v>
      </c>
      <c r="I31" s="141"/>
      <c r="J31" s="141"/>
      <c r="K31" s="53">
        <v>1</v>
      </c>
      <c r="L31" s="56" t="s">
        <v>10</v>
      </c>
      <c r="M31" s="48">
        <v>4</v>
      </c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Худяков</v>
      </c>
      <c r="D32" s="141"/>
      <c r="E32" s="142"/>
      <c r="F32" s="54">
        <v>13</v>
      </c>
      <c r="G32" s="55">
        <v>8</v>
      </c>
      <c r="H32" s="143" t="str">
        <f ca="1">IF(ISBLANK(INDIRECT(ADDRESS(K32*2+2,3))),"",INDIRECT(ADDRESS(K32*2+2,3)))</f>
        <v>Савельев</v>
      </c>
      <c r="I32" s="141"/>
      <c r="J32" s="141"/>
      <c r="K32" s="53">
        <v>5</v>
      </c>
      <c r="L32" s="56" t="s">
        <v>10</v>
      </c>
      <c r="M32" s="48">
        <v>1</v>
      </c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Панфиленко</v>
      </c>
      <c r="D35" s="141"/>
      <c r="E35" s="142"/>
      <c r="F35" s="54">
        <v>8</v>
      </c>
      <c r="G35" s="55">
        <v>13</v>
      </c>
      <c r="H35" s="143" t="str">
        <f ca="1">IF(ISBLANK(INDIRECT(ADDRESS(K35*2+2,3))),"",INDIRECT(ADDRESS(K35*2+2,3)))</f>
        <v>Савельев</v>
      </c>
      <c r="I35" s="141"/>
      <c r="J35" s="141"/>
      <c r="K35" s="53">
        <v>5</v>
      </c>
      <c r="L35" s="56" t="s">
        <v>10</v>
      </c>
      <c r="M35" s="48">
        <v>4</v>
      </c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Мишин</v>
      </c>
      <c r="D36" s="141"/>
      <c r="E36" s="142"/>
      <c r="F36" s="54">
        <v>12</v>
      </c>
      <c r="G36" s="55">
        <v>6</v>
      </c>
      <c r="H36" s="143" t="str">
        <f ca="1">IF(ISBLANK(INDIRECT(ADDRESS(K36*2+2,3))),"",INDIRECT(ADDRESS(K36*2+2,3)))</f>
        <v>Худяков</v>
      </c>
      <c r="I36" s="141"/>
      <c r="J36" s="141"/>
      <c r="K36" s="53">
        <v>4</v>
      </c>
      <c r="L36" s="56" t="s">
        <v>10</v>
      </c>
      <c r="M36" s="48">
        <v>1</v>
      </c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Северов</v>
      </c>
      <c r="D37" s="141"/>
      <c r="E37" s="142"/>
      <c r="F37" s="54">
        <v>13</v>
      </c>
      <c r="G37" s="55">
        <v>7</v>
      </c>
      <c r="H37" s="143" t="str">
        <f ca="1">IF(ISBLANK(INDIRECT(ADDRESS(K37*2+2,3))),"",INDIRECT(ADDRESS(K37*2+2,3)))</f>
        <v>Смирнов</v>
      </c>
      <c r="I37" s="141"/>
      <c r="J37" s="141"/>
      <c r="K37" s="53">
        <v>3</v>
      </c>
      <c r="L37" s="56" t="s">
        <v>10</v>
      </c>
      <c r="M37" s="48">
        <v>2</v>
      </c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Смирнов</v>
      </c>
      <c r="D40" s="141"/>
      <c r="E40" s="142"/>
      <c r="F40" s="54">
        <v>11</v>
      </c>
      <c r="G40" s="55">
        <v>12</v>
      </c>
      <c r="H40" s="143" t="str">
        <f ca="1">IF(ISBLANK(INDIRECT(ADDRESS(K40*2+2,3))),"",INDIRECT(ADDRESS(K40*2+2,3)))</f>
        <v>Панфиленко</v>
      </c>
      <c r="I40" s="141"/>
      <c r="J40" s="141"/>
      <c r="K40" s="53">
        <v>6</v>
      </c>
      <c r="L40" s="56" t="s">
        <v>10</v>
      </c>
      <c r="M40" s="48">
        <v>1</v>
      </c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Худяков</v>
      </c>
      <c r="D41" s="141"/>
      <c r="E41" s="142"/>
      <c r="F41" s="54">
        <v>8</v>
      </c>
      <c r="G41" s="55">
        <v>13</v>
      </c>
      <c r="H41" s="143" t="str">
        <f ca="1">IF(ISBLANK(INDIRECT(ADDRESS(K41*2+2,3))),"",INDIRECT(ADDRESS(K41*2+2,3)))</f>
        <v>Северов</v>
      </c>
      <c r="I41" s="141"/>
      <c r="J41" s="141"/>
      <c r="K41" s="53">
        <v>2</v>
      </c>
      <c r="L41" s="56" t="s">
        <v>10</v>
      </c>
      <c r="M41" s="48">
        <v>2</v>
      </c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Савельев</v>
      </c>
      <c r="D42" s="141"/>
      <c r="E42" s="142"/>
      <c r="F42" s="54">
        <v>3</v>
      </c>
      <c r="G42" s="55">
        <v>13</v>
      </c>
      <c r="H42" s="143" t="str">
        <f ca="1">IF(ISBLANK(INDIRECT(ADDRESS(K42*2+2,3))),"",INDIRECT(ADDRESS(K42*2+2,3)))</f>
        <v>Мишин</v>
      </c>
      <c r="I42" s="141"/>
      <c r="J42" s="141"/>
      <c r="K42" s="53">
        <v>1</v>
      </c>
      <c r="L42" s="56" t="s">
        <v>10</v>
      </c>
      <c r="M42" s="48">
        <v>3</v>
      </c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B1" sqref="B1:N1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7" ht="38.25" customHeight="1" x14ac:dyDescent="0.25">
      <c r="B1" s="147" t="s">
        <v>52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45669</v>
      </c>
    </row>
    <row r="2" spans="2:17" ht="15.75" thickBot="1" x14ac:dyDescent="0.3">
      <c r="M2"/>
    </row>
    <row r="3" spans="2:17" ht="30" customHeight="1" thickBot="1" x14ac:dyDescent="0.3">
      <c r="B3" s="49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7" ht="24" customHeight="1" x14ac:dyDescent="0.25">
      <c r="B4" s="94">
        <v>1</v>
      </c>
      <c r="C4" s="164" t="s">
        <v>45</v>
      </c>
      <c r="D4" s="165"/>
      <c r="E4" s="166"/>
      <c r="F4" s="10" t="s">
        <v>30</v>
      </c>
      <c r="G4" s="6" t="str">
        <f ca="1">INDIRECT(ADDRESS(27,6))&amp;":"&amp;INDIRECT(ADDRESS(27,7))</f>
        <v>13:8</v>
      </c>
      <c r="H4" s="6" t="str">
        <f ca="1">INDIRECT(ADDRESS(31,7))&amp;":"&amp;INDIRECT(ADDRESS(31,6))</f>
        <v>8:13</v>
      </c>
      <c r="I4" s="6" t="str">
        <f ca="1">INDIRECT(ADDRESS(36,6))&amp;":"&amp;INDIRECT(ADDRESS(36,7))</f>
        <v>13:4</v>
      </c>
      <c r="J4" s="6" t="str">
        <f ca="1">INDIRECT(ADDRESS(42,7))&amp;":"&amp;INDIRECT(ADDRESS(42,6))</f>
        <v>13:3</v>
      </c>
      <c r="K4" s="20" t="str">
        <f ca="1">INDIRECT(ADDRESS(20,6))&amp;":"&amp;INDIRECT(ADDRESS(20,7))</f>
        <v>13:6</v>
      </c>
      <c r="L4" s="151">
        <f ca="1">IF(COUNT(F5:K5)=0,"",COUNTIF(F5:K5,"&gt;0")+0.5*COUNTIF(F5:K5,0))</f>
        <v>4</v>
      </c>
      <c r="M4" s="23"/>
      <c r="N4" s="88">
        <v>2</v>
      </c>
    </row>
    <row r="5" spans="2:17" ht="24" customHeight="1" x14ac:dyDescent="0.25">
      <c r="B5" s="95"/>
      <c r="C5" s="105"/>
      <c r="D5" s="106"/>
      <c r="E5" s="107"/>
      <c r="F5" s="13" t="s">
        <v>30</v>
      </c>
      <c r="G5" s="16">
        <f ca="1">IF(LEN(INDIRECT(ADDRESS(ROW()-1, COLUMN())))=1,"",INDIRECT(ADDRESS(27,6))-INDIRECT(ADDRESS(27,7)))</f>
        <v>5</v>
      </c>
      <c r="H5" s="16">
        <f ca="1">IF(LEN(INDIRECT(ADDRESS(ROW()-1, COLUMN())))=1,"",INDIRECT(ADDRESS(31,7))-INDIRECT(ADDRESS(31,6)))</f>
        <v>-5</v>
      </c>
      <c r="I5" s="16">
        <f ca="1">IF(LEN(INDIRECT(ADDRESS(ROW()-1, COLUMN())))=1,"",INDIRECT(ADDRESS(36,6))-INDIRECT(ADDRESS(36,7)))</f>
        <v>9</v>
      </c>
      <c r="J5" s="16">
        <f ca="1">IF(LEN(INDIRECT(ADDRESS(ROW()-1, COLUMN())))=1,"",INDIRECT(ADDRESS(42,7))-INDIRECT(ADDRESS(42,6)))</f>
        <v>10</v>
      </c>
      <c r="K5" s="17">
        <f ca="1">IF(LEN(INDIRECT(ADDRESS(ROW()-1, COLUMN())))=1,"",INDIRECT(ADDRESS(20,6))-INDIRECT(ADDRESS(20,7)))</f>
        <v>7</v>
      </c>
      <c r="L5" s="144"/>
      <c r="M5" s="16">
        <f ca="1">IF(COUNT(F5:K5)=0,"",SUM(F5:K5))</f>
        <v>26</v>
      </c>
      <c r="N5" s="89"/>
    </row>
    <row r="6" spans="2:17" ht="24" customHeight="1" x14ac:dyDescent="0.25">
      <c r="B6" s="104">
        <v>2</v>
      </c>
      <c r="C6" s="126" t="s">
        <v>46</v>
      </c>
      <c r="D6" s="127"/>
      <c r="E6" s="128"/>
      <c r="F6" s="12" t="str">
        <f ca="1">INDIRECT(ADDRESS(27,7))&amp;":"&amp;INDIRECT(ADDRESS(27,6))</f>
        <v>8:13</v>
      </c>
      <c r="G6" s="8" t="s">
        <v>30</v>
      </c>
      <c r="H6" s="7" t="str">
        <f ca="1">INDIRECT(ADDRESS(37,6))&amp;":"&amp;INDIRECT(ADDRESS(37,7))</f>
        <v>5:13</v>
      </c>
      <c r="I6" s="7" t="str">
        <f ca="1">INDIRECT(ADDRESS(41,7))&amp;":"&amp;INDIRECT(ADDRESS(41,6))</f>
        <v>13:3</v>
      </c>
      <c r="J6" s="7" t="str">
        <f ca="1">INDIRECT(ADDRESS(21,6))&amp;":"&amp;INDIRECT(ADDRESS(21,7))</f>
        <v>13:2</v>
      </c>
      <c r="K6" s="11" t="str">
        <f ca="1">INDIRECT(ADDRESS(30,6))&amp;":"&amp;INDIRECT(ADDRESS(30,7))</f>
        <v>13:7</v>
      </c>
      <c r="L6" s="144">
        <f ca="1">IF(COUNT(F7:K7)=0,"",COUNTIF(F7:K7,"&gt;0")+0.5*COUNTIF(F7:K7,0))</f>
        <v>3</v>
      </c>
      <c r="M6" s="16"/>
      <c r="N6" s="110">
        <v>3</v>
      </c>
    </row>
    <row r="7" spans="2:17" ht="24" customHeight="1" x14ac:dyDescent="0.25">
      <c r="B7" s="95"/>
      <c r="C7" s="126"/>
      <c r="D7" s="127"/>
      <c r="E7" s="128"/>
      <c r="F7" s="22">
        <f ca="1">IF(LEN(INDIRECT(ADDRESS(ROW()-1, COLUMN())))=1,"",INDIRECT(ADDRESS(27,7))-INDIRECT(ADDRESS(27,6)))</f>
        <v>-5</v>
      </c>
      <c r="G7" s="14" t="s">
        <v>30</v>
      </c>
      <c r="H7" s="16">
        <f ca="1">IF(LEN(INDIRECT(ADDRESS(ROW()-1, COLUMN())))=1,"",INDIRECT(ADDRESS(37,6))-INDIRECT(ADDRESS(37,7)))</f>
        <v>-8</v>
      </c>
      <c r="I7" s="16">
        <f ca="1">IF(LEN(INDIRECT(ADDRESS(ROW()-1, COLUMN())))=1,"",INDIRECT(ADDRESS(41,7))-INDIRECT(ADDRESS(41,6)))</f>
        <v>10</v>
      </c>
      <c r="J7" s="16">
        <f ca="1">IF(LEN(INDIRECT(ADDRESS(ROW()-1, COLUMN())))=1,"",INDIRECT(ADDRESS(21,6))-INDIRECT(ADDRESS(21,7)))</f>
        <v>11</v>
      </c>
      <c r="K7" s="17">
        <f ca="1">IF(LEN(INDIRECT(ADDRESS(ROW()-1, COLUMN())))=1,"",INDIRECT(ADDRESS(30,6))-INDIRECT(ADDRESS(30,7)))</f>
        <v>6</v>
      </c>
      <c r="L7" s="144"/>
      <c r="M7" s="16">
        <f ca="1">IF(COUNT(F7:K7)=0,"",SUM(F7:K7))</f>
        <v>14</v>
      </c>
      <c r="N7" s="89"/>
    </row>
    <row r="8" spans="2:17" ht="24" customHeight="1" x14ac:dyDescent="0.25">
      <c r="B8" s="104">
        <v>3</v>
      </c>
      <c r="C8" s="105" t="s">
        <v>47</v>
      </c>
      <c r="D8" s="106"/>
      <c r="E8" s="107"/>
      <c r="F8" s="12" t="str">
        <f ca="1">INDIRECT(ADDRESS(31,6))&amp;":"&amp;INDIRECT(ADDRESS(31,7))</f>
        <v>13:8</v>
      </c>
      <c r="G8" s="7" t="str">
        <f ca="1">INDIRECT(ADDRESS(37,7))&amp;":"&amp;INDIRECT(ADDRESS(37,6))</f>
        <v>13:5</v>
      </c>
      <c r="H8" s="8" t="s">
        <v>30</v>
      </c>
      <c r="I8" s="7" t="str">
        <f ca="1">INDIRECT(ADDRESS(22,6))&amp;":"&amp;INDIRECT(ADDRESS(22,7))</f>
        <v>12:13</v>
      </c>
      <c r="J8" s="7" t="str">
        <f ca="1">INDIRECT(ADDRESS(26,7))&amp;":"&amp;INDIRECT(ADDRESS(26,6))</f>
        <v>13:2</v>
      </c>
      <c r="K8" s="11" t="str">
        <f ca="1">INDIRECT(ADDRESS(40,6))&amp;":"&amp;INDIRECT(ADDRESS(40,7))</f>
        <v>13:7</v>
      </c>
      <c r="L8" s="144">
        <f ca="1">IF(COUNT(F9:K9)=0,"",COUNTIF(F9:K9,"&gt;0")+0.5*COUNTIF(F9:K9,0))</f>
        <v>4</v>
      </c>
      <c r="M8" s="16"/>
      <c r="N8" s="110">
        <v>1</v>
      </c>
    </row>
    <row r="9" spans="2:17" ht="24" customHeight="1" x14ac:dyDescent="0.25">
      <c r="B9" s="95"/>
      <c r="C9" s="105"/>
      <c r="D9" s="106"/>
      <c r="E9" s="107"/>
      <c r="F9" s="22">
        <f ca="1">IF(LEN(INDIRECT(ADDRESS(ROW()-1, COLUMN())))=1,"",INDIRECT(ADDRESS(31,6))-INDIRECT(ADDRESS(31,7)))</f>
        <v>5</v>
      </c>
      <c r="G9" s="16">
        <f ca="1">IF(LEN(INDIRECT(ADDRESS(ROW()-1, COLUMN())))=1,"",INDIRECT(ADDRESS(37,7))-INDIRECT(ADDRESS(37,6)))</f>
        <v>8</v>
      </c>
      <c r="H9" s="14" t="s">
        <v>30</v>
      </c>
      <c r="I9" s="16">
        <f ca="1">IF(LEN(INDIRECT(ADDRESS(ROW()-1, COLUMN())))=1,"",INDIRECT(ADDRESS(22,6))-INDIRECT(ADDRESS(22,7)))</f>
        <v>-1</v>
      </c>
      <c r="J9" s="16">
        <f ca="1">IF(LEN(INDIRECT(ADDRESS(ROW()-1, COLUMN())))=1,"",INDIRECT(ADDRESS(26,7))-INDIRECT(ADDRESS(26,6)))</f>
        <v>11</v>
      </c>
      <c r="K9" s="17">
        <f ca="1">IF(LEN(INDIRECT(ADDRESS(ROW()-1, COLUMN())))=1,"",INDIRECT(ADDRESS(40,6))-INDIRECT(ADDRESS(40,7)))</f>
        <v>6</v>
      </c>
      <c r="L9" s="144"/>
      <c r="M9" s="16">
        <f ca="1">IF(COUNT(F9:K9)=0,"",SUM(F9:K9))</f>
        <v>29</v>
      </c>
      <c r="N9" s="89"/>
    </row>
    <row r="10" spans="2:17" ht="24" customHeight="1" x14ac:dyDescent="0.25">
      <c r="B10" s="104">
        <v>4</v>
      </c>
      <c r="C10" s="99" t="s">
        <v>48</v>
      </c>
      <c r="D10" s="100"/>
      <c r="E10" s="101"/>
      <c r="F10" s="12" t="str">
        <f ca="1">INDIRECT(ADDRESS(36,7))&amp;":"&amp;INDIRECT(ADDRESS(36,6))</f>
        <v>4:13</v>
      </c>
      <c r="G10" s="7" t="str">
        <f ca="1">INDIRECT(ADDRESS(41,6))&amp;":"&amp;INDIRECT(ADDRESS(41,7))</f>
        <v>3:13</v>
      </c>
      <c r="H10" s="7" t="str">
        <f ca="1">INDIRECT(ADDRESS(22,7))&amp;":"&amp;INDIRECT(ADDRESS(22,6))</f>
        <v>13:12</v>
      </c>
      <c r="I10" s="8" t="s">
        <v>30</v>
      </c>
      <c r="J10" s="7" t="str">
        <f ca="1">INDIRECT(ADDRESS(32,6))&amp;":"&amp;INDIRECT(ADDRESS(32,7))</f>
        <v>11:13</v>
      </c>
      <c r="K10" s="11" t="str">
        <f ca="1">INDIRECT(ADDRESS(25,7))&amp;":"&amp;INDIRECT(ADDRESS(25,6))</f>
        <v>11:9</v>
      </c>
      <c r="L10" s="144">
        <f ca="1">IF(COUNT(F11:K11)=0,"",COUNTIF(F11:K11,"&gt;0")+0.5*COUNTIF(F11:K11,0))</f>
        <v>2</v>
      </c>
      <c r="M10" s="16"/>
      <c r="N10" s="110">
        <v>4</v>
      </c>
      <c r="Q10" t="s">
        <v>49</v>
      </c>
    </row>
    <row r="11" spans="2:17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-9</v>
      </c>
      <c r="G11" s="16">
        <f ca="1">IF(LEN(INDIRECT(ADDRESS(ROW()-1, COLUMN())))=1,"",INDIRECT(ADDRESS(41,6))-INDIRECT(ADDRESS(41,7)))</f>
        <v>-10</v>
      </c>
      <c r="H11" s="16">
        <f ca="1">IF(LEN(INDIRECT(ADDRESS(ROW()-1, COLUMN())))=1,"",INDIRECT(ADDRESS(22,7))-INDIRECT(ADDRESS(22,6)))</f>
        <v>1</v>
      </c>
      <c r="I11" s="14" t="s">
        <v>30</v>
      </c>
      <c r="J11" s="16">
        <f ca="1">IF(LEN(INDIRECT(ADDRESS(ROW()-1, COLUMN())))=1,"",INDIRECT(ADDRESS(32,6))-INDIRECT(ADDRESS(32,7)))</f>
        <v>-2</v>
      </c>
      <c r="K11" s="17">
        <f ca="1">IF(LEN(INDIRECT(ADDRESS(ROW()-1, COLUMN())))=1,"",INDIRECT(ADDRESS(25,7))-INDIRECT(ADDRESS(25,6)))</f>
        <v>2</v>
      </c>
      <c r="L11" s="144"/>
      <c r="M11" s="16">
        <f ca="1">IF(COUNT(F11:K11)=0,"",SUM(F11:K11))</f>
        <v>-18</v>
      </c>
      <c r="N11" s="89"/>
    </row>
    <row r="12" spans="2:17" ht="24" customHeight="1" x14ac:dyDescent="0.25">
      <c r="B12" s="104">
        <v>5</v>
      </c>
      <c r="C12" s="99" t="s">
        <v>50</v>
      </c>
      <c r="D12" s="100"/>
      <c r="E12" s="101"/>
      <c r="F12" s="12" t="str">
        <f ca="1">INDIRECT(ADDRESS(42,6))&amp;":"&amp;INDIRECT(ADDRESS(42,7))</f>
        <v>3:13</v>
      </c>
      <c r="G12" s="7" t="str">
        <f ca="1">INDIRECT(ADDRESS(21,7))&amp;":"&amp;INDIRECT(ADDRESS(21,6))</f>
        <v>2:13</v>
      </c>
      <c r="H12" s="7" t="str">
        <f ca="1">INDIRECT(ADDRESS(26,6))&amp;":"&amp;INDIRECT(ADDRESS(26,7))</f>
        <v>2:13</v>
      </c>
      <c r="I12" s="7" t="str">
        <f ca="1">INDIRECT(ADDRESS(32,7))&amp;":"&amp;INDIRECT(ADDRESS(32,6))</f>
        <v>13:11</v>
      </c>
      <c r="J12" s="8" t="s">
        <v>30</v>
      </c>
      <c r="K12" s="11" t="str">
        <f ca="1">INDIRECT(ADDRESS(35,7))&amp;":"&amp;INDIRECT(ADDRESS(35,6))</f>
        <v>10:13</v>
      </c>
      <c r="L12" s="144">
        <f ca="1">IF(COUNT(F13:K13)=0,"",COUNTIF(F13:K13,"&gt;0")+0.5*COUNTIF(F13:K13,0))</f>
        <v>1</v>
      </c>
      <c r="M12" s="16"/>
      <c r="N12" s="110">
        <v>6</v>
      </c>
    </row>
    <row r="13" spans="2:17" ht="24" customHeight="1" x14ac:dyDescent="0.25">
      <c r="B13" s="95"/>
      <c r="C13" s="99"/>
      <c r="D13" s="100"/>
      <c r="E13" s="101"/>
      <c r="F13" s="22">
        <f ca="1">IF(LEN(INDIRECT(ADDRESS(ROW()-1, COLUMN())))=1,"",INDIRECT(ADDRESS(42,6))-INDIRECT(ADDRESS(42,7)))</f>
        <v>-10</v>
      </c>
      <c r="G13" s="16">
        <f ca="1">IF(LEN(INDIRECT(ADDRESS(ROW()-1, COLUMN())))=1,"",INDIRECT(ADDRESS(21,7))-INDIRECT(ADDRESS(21,6)))</f>
        <v>-11</v>
      </c>
      <c r="H13" s="16">
        <f ca="1">IF(LEN(INDIRECT(ADDRESS(ROW()-1, COLUMN())))=1,"",INDIRECT(ADDRESS(26,6))-INDIRECT(ADDRESS(26,7)))</f>
        <v>-11</v>
      </c>
      <c r="I13" s="16">
        <f ca="1">IF(LEN(INDIRECT(ADDRESS(ROW()-1, COLUMN())))=1,"",INDIRECT(ADDRESS(32,7))-INDIRECT(ADDRESS(32,6)))</f>
        <v>2</v>
      </c>
      <c r="J13" s="14" t="s">
        <v>30</v>
      </c>
      <c r="K13" s="17">
        <f ca="1">IF(LEN(INDIRECT(ADDRESS(ROW()-1, COLUMN())))=1,"",INDIRECT(ADDRESS(35,7))-INDIRECT(ADDRESS(35,6)))</f>
        <v>-3</v>
      </c>
      <c r="L13" s="144"/>
      <c r="M13" s="16">
        <f ca="1">IF(COUNT(F13:K13)=0,"",SUM(F13:K13))</f>
        <v>-33</v>
      </c>
      <c r="N13" s="89"/>
    </row>
    <row r="14" spans="2:17" ht="24" customHeight="1" x14ac:dyDescent="0.25">
      <c r="B14" s="104">
        <v>6</v>
      </c>
      <c r="C14" s="99" t="s">
        <v>51</v>
      </c>
      <c r="D14" s="100"/>
      <c r="E14" s="101"/>
      <c r="F14" s="12" t="str">
        <f ca="1">INDIRECT(ADDRESS(20,7))&amp;":"&amp;INDIRECT(ADDRESS(20,6))</f>
        <v>6:13</v>
      </c>
      <c r="G14" s="7" t="str">
        <f ca="1">INDIRECT(ADDRESS(30,7))&amp;":"&amp;INDIRECT(ADDRESS(30,6))</f>
        <v>7:13</v>
      </c>
      <c r="H14" s="7" t="str">
        <f ca="1">INDIRECT(ADDRESS(40,7))&amp;":"&amp;INDIRECT(ADDRESS(40,6))</f>
        <v>7:13</v>
      </c>
      <c r="I14" s="7" t="str">
        <f ca="1">INDIRECT(ADDRESS(25,6))&amp;":"&amp;INDIRECT(ADDRESS(25,7))</f>
        <v>9:11</v>
      </c>
      <c r="J14" s="7" t="str">
        <f ca="1">INDIRECT(ADDRESS(35,6))&amp;":"&amp;INDIRECT(ADDRESS(35,7))</f>
        <v>13:10</v>
      </c>
      <c r="K14" s="50" t="s">
        <v>30</v>
      </c>
      <c r="L14" s="144">
        <f ca="1">IF(COUNT(F15:K15)=0,"",COUNTIF(F15:K15,"&gt;0")+0.5*COUNTIF(F15:K15,0))</f>
        <v>1</v>
      </c>
      <c r="M14" s="16"/>
      <c r="N14" s="110">
        <v>5</v>
      </c>
    </row>
    <row r="15" spans="2:17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-7</v>
      </c>
      <c r="G15" s="18">
        <f ca="1">IF(LEN(INDIRECT(ADDRESS(ROW()-1, COLUMN())))=1,"",INDIRECT(ADDRESS(30,7))-INDIRECT(ADDRESS(30,6)))</f>
        <v>-6</v>
      </c>
      <c r="H15" s="18">
        <f ca="1">IF(LEN(INDIRECT(ADDRESS(ROW()-1, COLUMN())))=1,"",INDIRECT(ADDRESS(40,7))-INDIRECT(ADDRESS(40,6)))</f>
        <v>-6</v>
      </c>
      <c r="I15" s="18">
        <f ca="1">IF(LEN(INDIRECT(ADDRESS(ROW()-1, COLUMN())))=1,"",INDIRECT(ADDRESS(25,6))-INDIRECT(ADDRESS(25,7)))</f>
        <v>-2</v>
      </c>
      <c r="J15" s="18">
        <f ca="1">IF(LEN(INDIRECT(ADDRESS(ROW()-1, COLUMN())))=1,"",INDIRECT(ADDRESS(35,6))-INDIRECT(ADDRESS(35,7)))</f>
        <v>3</v>
      </c>
      <c r="K15" s="15" t="s">
        <v>30</v>
      </c>
      <c r="L15" s="145"/>
      <c r="M15" s="18">
        <f ca="1">IF(COUNT(F15:K15)=0,"",SUM(F15:K15))</f>
        <v>-18</v>
      </c>
      <c r="N15" s="146"/>
    </row>
    <row r="16" spans="2:17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  <c r="M19"/>
    </row>
    <row r="20" spans="2:13" ht="30" customHeight="1" thickBot="1" x14ac:dyDescent="0.3">
      <c r="B20" s="5">
        <v>1</v>
      </c>
      <c r="C20" s="111" t="str">
        <f ca="1">IF(ISBLANK(INDIRECT(ADDRESS(B20*2+2,3))),"",INDIRECT(ADDRESS(B20*2+2,3)))</f>
        <v>Лямунов</v>
      </c>
      <c r="D20" s="111"/>
      <c r="E20" s="112"/>
      <c r="F20" s="24">
        <v>13</v>
      </c>
      <c r="G20" s="25">
        <v>6</v>
      </c>
      <c r="H20" s="113" t="str">
        <f ca="1">IF(ISBLANK(INDIRECT(ADDRESS(K20*2+2,3))),"",INDIRECT(ADDRESS(K20*2+2,3)))</f>
        <v>Домбровский</v>
      </c>
      <c r="I20" s="111"/>
      <c r="J20" s="111"/>
      <c r="K20" s="5">
        <v>6</v>
      </c>
      <c r="L20" s="27" t="s">
        <v>10</v>
      </c>
      <c r="M20" s="26">
        <v>1</v>
      </c>
    </row>
    <row r="21" spans="2:13" ht="30" customHeight="1" thickBot="1" x14ac:dyDescent="0.3">
      <c r="B21" s="5">
        <v>2</v>
      </c>
      <c r="C21" s="111" t="str">
        <f ca="1">IF(ISBLANK(INDIRECT(ADDRESS(B21*2+2,3))),"",INDIRECT(ADDRESS(B21*2+2,3)))</f>
        <v>Анухин</v>
      </c>
      <c r="D21" s="111"/>
      <c r="E21" s="112"/>
      <c r="F21" s="24">
        <v>13</v>
      </c>
      <c r="G21" s="25">
        <v>2</v>
      </c>
      <c r="H21" s="113" t="str">
        <f ca="1">IF(ISBLANK(INDIRECT(ADDRESS(K21*2+2,3))),"",INDIRECT(ADDRESS(K21*2+2,3)))</f>
        <v>Балахтин</v>
      </c>
      <c r="I21" s="111"/>
      <c r="J21" s="111"/>
      <c r="K21" s="5">
        <v>5</v>
      </c>
      <c r="L21" s="27" t="s">
        <v>10</v>
      </c>
      <c r="M21" s="26">
        <v>2</v>
      </c>
    </row>
    <row r="22" spans="2:13" ht="30" customHeight="1" thickBot="1" x14ac:dyDescent="0.3">
      <c r="B22" s="5">
        <v>3</v>
      </c>
      <c r="C22" s="111" t="str">
        <f ca="1">IF(ISBLANK(INDIRECT(ADDRESS(B22*2+2,3))),"",INDIRECT(ADDRESS(B22*2+2,3)))</f>
        <v>Кувакин</v>
      </c>
      <c r="D22" s="111"/>
      <c r="E22" s="112"/>
      <c r="F22" s="24">
        <v>12</v>
      </c>
      <c r="G22" s="25">
        <v>13</v>
      </c>
      <c r="H22" s="113" t="str">
        <f ca="1">IF(ISBLANK(INDIRECT(ADDRESS(K22*2+2,3))),"",INDIRECT(ADDRESS(K22*2+2,3)))</f>
        <v>Таратин</v>
      </c>
      <c r="I22" s="111"/>
      <c r="J22" s="111"/>
      <c r="K22" s="5">
        <v>4</v>
      </c>
      <c r="L22" s="27" t="s">
        <v>10</v>
      </c>
      <c r="M22" s="26">
        <v>3</v>
      </c>
    </row>
    <row r="23" spans="2:13" ht="30" customHeight="1" x14ac:dyDescent="0.25"/>
    <row r="24" spans="2:13" ht="30" customHeight="1" thickBot="1" x14ac:dyDescent="0.3"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</row>
    <row r="25" spans="2:13" ht="30" customHeight="1" thickBot="1" x14ac:dyDescent="0.3">
      <c r="B25" s="5">
        <v>6</v>
      </c>
      <c r="C25" s="111" t="str">
        <f ca="1">IF(ISBLANK(INDIRECT(ADDRESS(B25*2+2,3))),"",INDIRECT(ADDRESS(B25*2+2,3)))</f>
        <v>Домбровский</v>
      </c>
      <c r="D25" s="111"/>
      <c r="E25" s="112"/>
      <c r="F25" s="24">
        <v>9</v>
      </c>
      <c r="G25" s="25">
        <v>11</v>
      </c>
      <c r="H25" s="113" t="str">
        <f ca="1">IF(ISBLANK(INDIRECT(ADDRESS(K25*2+2,3))),"",INDIRECT(ADDRESS(K25*2+2,3)))</f>
        <v>Таратин</v>
      </c>
      <c r="I25" s="111"/>
      <c r="J25" s="111"/>
      <c r="K25" s="5">
        <v>4</v>
      </c>
      <c r="L25" s="27" t="s">
        <v>10</v>
      </c>
      <c r="M25" s="26">
        <v>2</v>
      </c>
    </row>
    <row r="26" spans="2:13" ht="30" customHeight="1" thickBot="1" x14ac:dyDescent="0.3">
      <c r="B26" s="5">
        <v>5</v>
      </c>
      <c r="C26" s="111" t="str">
        <f ca="1">IF(ISBLANK(INDIRECT(ADDRESS(B26*2+2,3))),"",INDIRECT(ADDRESS(B26*2+2,3)))</f>
        <v>Балахтин</v>
      </c>
      <c r="D26" s="111"/>
      <c r="E26" s="112"/>
      <c r="F26" s="24">
        <v>2</v>
      </c>
      <c r="G26" s="25">
        <v>13</v>
      </c>
      <c r="H26" s="113" t="str">
        <f ca="1">IF(ISBLANK(INDIRECT(ADDRESS(K26*2+2,3))),"",INDIRECT(ADDRESS(K26*2+2,3)))</f>
        <v>Кувакин</v>
      </c>
      <c r="I26" s="111"/>
      <c r="J26" s="111"/>
      <c r="K26" s="5">
        <v>3</v>
      </c>
      <c r="L26" s="27" t="s">
        <v>10</v>
      </c>
      <c r="M26" s="26">
        <v>3</v>
      </c>
    </row>
    <row r="27" spans="2:13" ht="30" customHeight="1" thickBot="1" x14ac:dyDescent="0.3">
      <c r="B27" s="5">
        <v>1</v>
      </c>
      <c r="C27" s="111" t="str">
        <f ca="1">IF(ISBLANK(INDIRECT(ADDRESS(B27*2+2,3))),"",INDIRECT(ADDRESS(B27*2+2,3)))</f>
        <v>Лямунов</v>
      </c>
      <c r="D27" s="111"/>
      <c r="E27" s="112"/>
      <c r="F27" s="24">
        <v>13</v>
      </c>
      <c r="G27" s="25">
        <v>8</v>
      </c>
      <c r="H27" s="113" t="str">
        <f ca="1">IF(ISBLANK(INDIRECT(ADDRESS(K27*2+2,3))),"",INDIRECT(ADDRESS(K27*2+2,3)))</f>
        <v>Анухин</v>
      </c>
      <c r="I27" s="111"/>
      <c r="J27" s="111"/>
      <c r="K27" s="5">
        <v>2</v>
      </c>
      <c r="L27" s="27" t="s">
        <v>10</v>
      </c>
      <c r="M27" s="26">
        <v>4</v>
      </c>
    </row>
    <row r="28" spans="2:13" ht="30" customHeight="1" x14ac:dyDescent="0.25"/>
    <row r="29" spans="2:13" ht="30" customHeight="1" thickBot="1" x14ac:dyDescent="0.3"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</row>
    <row r="30" spans="2:13" ht="30" customHeight="1" thickBot="1" x14ac:dyDescent="0.3">
      <c r="B30" s="5">
        <v>2</v>
      </c>
      <c r="C30" s="111" t="str">
        <f ca="1">IF(ISBLANK(INDIRECT(ADDRESS(B30*2+2,3))),"",INDIRECT(ADDRESS(B30*2+2,3)))</f>
        <v>Анухин</v>
      </c>
      <c r="D30" s="111"/>
      <c r="E30" s="112"/>
      <c r="F30" s="24">
        <v>13</v>
      </c>
      <c r="G30" s="25">
        <v>7</v>
      </c>
      <c r="H30" s="113" t="str">
        <f ca="1">IF(ISBLANK(INDIRECT(ADDRESS(K30*2+2,3))),"",INDIRECT(ADDRESS(K30*2+2,3)))</f>
        <v>Домбровский</v>
      </c>
      <c r="I30" s="111"/>
      <c r="J30" s="111"/>
      <c r="K30" s="5">
        <v>6</v>
      </c>
      <c r="L30" s="27" t="s">
        <v>10</v>
      </c>
      <c r="M30" s="26">
        <v>3</v>
      </c>
    </row>
    <row r="31" spans="2:13" ht="30" customHeight="1" thickBot="1" x14ac:dyDescent="0.3">
      <c r="B31" s="5">
        <v>3</v>
      </c>
      <c r="C31" s="111" t="str">
        <f ca="1">IF(ISBLANK(INDIRECT(ADDRESS(B31*2+2,3))),"",INDIRECT(ADDRESS(B31*2+2,3)))</f>
        <v>Кувакин</v>
      </c>
      <c r="D31" s="111"/>
      <c r="E31" s="112"/>
      <c r="F31" s="24">
        <v>13</v>
      </c>
      <c r="G31" s="25">
        <v>8</v>
      </c>
      <c r="H31" s="113" t="str">
        <f ca="1">IF(ISBLANK(INDIRECT(ADDRESS(K31*2+2,3))),"",INDIRECT(ADDRESS(K31*2+2,3)))</f>
        <v>Лямунов</v>
      </c>
      <c r="I31" s="111"/>
      <c r="J31" s="111"/>
      <c r="K31" s="5">
        <v>1</v>
      </c>
      <c r="L31" s="27" t="s">
        <v>10</v>
      </c>
      <c r="M31" s="26">
        <v>4</v>
      </c>
    </row>
    <row r="32" spans="2:13" ht="30" customHeight="1" thickBot="1" x14ac:dyDescent="0.3">
      <c r="B32" s="5">
        <v>4</v>
      </c>
      <c r="C32" s="111" t="str">
        <f ca="1">IF(ISBLANK(INDIRECT(ADDRESS(B32*2+2,3))),"",INDIRECT(ADDRESS(B32*2+2,3)))</f>
        <v>Таратин</v>
      </c>
      <c r="D32" s="111"/>
      <c r="E32" s="112"/>
      <c r="F32" s="24">
        <v>11</v>
      </c>
      <c r="G32" s="25">
        <v>13</v>
      </c>
      <c r="H32" s="113" t="str">
        <f ca="1">IF(ISBLANK(INDIRECT(ADDRESS(K32*2+2,3))),"",INDIRECT(ADDRESS(K32*2+2,3)))</f>
        <v>Балахтин</v>
      </c>
      <c r="I32" s="111"/>
      <c r="J32" s="111"/>
      <c r="K32" s="5">
        <v>5</v>
      </c>
      <c r="L32" s="27" t="s">
        <v>10</v>
      </c>
      <c r="M32" s="26">
        <v>1</v>
      </c>
    </row>
    <row r="33" spans="2:13" ht="30" customHeight="1" x14ac:dyDescent="0.25"/>
    <row r="34" spans="2:13" ht="30" customHeight="1" thickBot="1" x14ac:dyDescent="0.3"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2:13" ht="30" customHeight="1" thickBot="1" x14ac:dyDescent="0.3">
      <c r="B35" s="5">
        <v>6</v>
      </c>
      <c r="C35" s="111" t="str">
        <f ca="1">IF(ISBLANK(INDIRECT(ADDRESS(B35*2+2,3))),"",INDIRECT(ADDRESS(B35*2+2,3)))</f>
        <v>Домбровский</v>
      </c>
      <c r="D35" s="111"/>
      <c r="E35" s="112"/>
      <c r="F35" s="24">
        <v>13</v>
      </c>
      <c r="G35" s="25">
        <v>10</v>
      </c>
      <c r="H35" s="113" t="str">
        <f ca="1">IF(ISBLANK(INDIRECT(ADDRESS(K35*2+2,3))),"",INDIRECT(ADDRESS(K35*2+2,3)))</f>
        <v>Балахтин</v>
      </c>
      <c r="I35" s="111"/>
      <c r="J35" s="111"/>
      <c r="K35" s="5">
        <v>5</v>
      </c>
      <c r="L35" s="27" t="s">
        <v>10</v>
      </c>
      <c r="M35" s="26">
        <v>4</v>
      </c>
    </row>
    <row r="36" spans="2:13" ht="30" customHeight="1" thickBot="1" x14ac:dyDescent="0.3">
      <c r="B36" s="5">
        <v>1</v>
      </c>
      <c r="C36" s="111" t="str">
        <f ca="1">IF(ISBLANK(INDIRECT(ADDRESS(B36*2+2,3))),"",INDIRECT(ADDRESS(B36*2+2,3)))</f>
        <v>Лямунов</v>
      </c>
      <c r="D36" s="111"/>
      <c r="E36" s="112"/>
      <c r="F36" s="24">
        <v>13</v>
      </c>
      <c r="G36" s="25">
        <v>4</v>
      </c>
      <c r="H36" s="113" t="str">
        <f ca="1">IF(ISBLANK(INDIRECT(ADDRESS(K36*2+2,3))),"",INDIRECT(ADDRESS(K36*2+2,3)))</f>
        <v>Таратин</v>
      </c>
      <c r="I36" s="111"/>
      <c r="J36" s="111"/>
      <c r="K36" s="5">
        <v>4</v>
      </c>
      <c r="L36" s="27" t="s">
        <v>10</v>
      </c>
      <c r="M36" s="26">
        <v>1</v>
      </c>
    </row>
    <row r="37" spans="2:13" ht="30" customHeight="1" thickBot="1" x14ac:dyDescent="0.3">
      <c r="B37" s="5">
        <v>2</v>
      </c>
      <c r="C37" s="111" t="str">
        <f ca="1">IF(ISBLANK(INDIRECT(ADDRESS(B37*2+2,3))),"",INDIRECT(ADDRESS(B37*2+2,3)))</f>
        <v>Анухин</v>
      </c>
      <c r="D37" s="111"/>
      <c r="E37" s="112"/>
      <c r="F37" s="24">
        <v>5</v>
      </c>
      <c r="G37" s="25">
        <v>13</v>
      </c>
      <c r="H37" s="113" t="str">
        <f ca="1">IF(ISBLANK(INDIRECT(ADDRESS(K37*2+2,3))),"",INDIRECT(ADDRESS(K37*2+2,3)))</f>
        <v>Кувакин</v>
      </c>
      <c r="I37" s="111"/>
      <c r="J37" s="111"/>
      <c r="K37" s="5">
        <v>3</v>
      </c>
      <c r="L37" s="27" t="s">
        <v>10</v>
      </c>
      <c r="M37" s="26">
        <v>2</v>
      </c>
    </row>
    <row r="38" spans="2:13" ht="30" customHeight="1" x14ac:dyDescent="0.25"/>
    <row r="39" spans="2:13" ht="30" customHeight="1" thickBot="1" x14ac:dyDescent="0.3"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</row>
    <row r="40" spans="2:13" ht="30" customHeight="1" thickBot="1" x14ac:dyDescent="0.3">
      <c r="B40" s="5">
        <v>3</v>
      </c>
      <c r="C40" s="111" t="str">
        <f ca="1">IF(ISBLANK(INDIRECT(ADDRESS(B40*2+2,3))),"",INDIRECT(ADDRESS(B40*2+2,3)))</f>
        <v>Кувакин</v>
      </c>
      <c r="D40" s="111"/>
      <c r="E40" s="112"/>
      <c r="F40" s="24">
        <v>13</v>
      </c>
      <c r="G40" s="25">
        <v>7</v>
      </c>
      <c r="H40" s="113" t="str">
        <f ca="1">IF(ISBLANK(INDIRECT(ADDRESS(K40*2+2,3))),"",INDIRECT(ADDRESS(K40*2+2,3)))</f>
        <v>Домбровский</v>
      </c>
      <c r="I40" s="111"/>
      <c r="J40" s="111"/>
      <c r="K40" s="5">
        <v>6</v>
      </c>
      <c r="L40" s="27" t="s">
        <v>10</v>
      </c>
      <c r="M40" s="26">
        <v>1</v>
      </c>
    </row>
    <row r="41" spans="2:13" ht="30" customHeight="1" thickBot="1" x14ac:dyDescent="0.3">
      <c r="B41" s="5">
        <v>4</v>
      </c>
      <c r="C41" s="111" t="str">
        <f ca="1">IF(ISBLANK(INDIRECT(ADDRESS(B41*2+2,3))),"",INDIRECT(ADDRESS(B41*2+2,3)))</f>
        <v>Таратин</v>
      </c>
      <c r="D41" s="111"/>
      <c r="E41" s="112"/>
      <c r="F41" s="24">
        <v>3</v>
      </c>
      <c r="G41" s="25">
        <v>13</v>
      </c>
      <c r="H41" s="113" t="str">
        <f ca="1">IF(ISBLANK(INDIRECT(ADDRESS(K41*2+2,3))),"",INDIRECT(ADDRESS(K41*2+2,3)))</f>
        <v>Анухин</v>
      </c>
      <c r="I41" s="111"/>
      <c r="J41" s="111"/>
      <c r="K41" s="5">
        <v>2</v>
      </c>
      <c r="L41" s="27" t="s">
        <v>10</v>
      </c>
      <c r="M41" s="26">
        <v>2</v>
      </c>
    </row>
    <row r="42" spans="2:13" ht="30" customHeight="1" thickBot="1" x14ac:dyDescent="0.3">
      <c r="B42" s="5">
        <v>5</v>
      </c>
      <c r="C42" s="111" t="str">
        <f ca="1">IF(ISBLANK(INDIRECT(ADDRESS(B42*2+2,3))),"",INDIRECT(ADDRESS(B42*2+2,3)))</f>
        <v>Балахтин</v>
      </c>
      <c r="D42" s="111"/>
      <c r="E42" s="112"/>
      <c r="F42" s="24">
        <v>3</v>
      </c>
      <c r="G42" s="25">
        <v>13</v>
      </c>
      <c r="H42" s="113" t="str">
        <f ca="1">IF(ISBLANK(INDIRECT(ADDRESS(K42*2+2,3))),"",INDIRECT(ADDRESS(K42*2+2,3)))</f>
        <v>Лямунов</v>
      </c>
      <c r="I42" s="111"/>
      <c r="J42" s="111"/>
      <c r="K42" s="5">
        <v>1</v>
      </c>
      <c r="L42" s="27" t="s">
        <v>10</v>
      </c>
      <c r="M42" s="26">
        <v>3</v>
      </c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O12" sqref="O12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59.25" customHeight="1" x14ac:dyDescent="0.25">
      <c r="B1" s="147" t="s">
        <v>52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45676</v>
      </c>
    </row>
    <row r="2" spans="2:14" ht="15.75" thickBot="1" x14ac:dyDescent="0.3">
      <c r="M2"/>
    </row>
    <row r="3" spans="2:14" ht="30" customHeight="1" thickBot="1" x14ac:dyDescent="0.3">
      <c r="B3" s="59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64" t="s">
        <v>60</v>
      </c>
      <c r="D4" s="165"/>
      <c r="E4" s="166"/>
      <c r="F4" s="10" t="s">
        <v>30</v>
      </c>
      <c r="G4" s="6" t="str">
        <f ca="1">INDIRECT(ADDRESS(27,6))&amp;":"&amp;INDIRECT(ADDRESS(27,7))</f>
        <v>13:5</v>
      </c>
      <c r="H4" s="6" t="str">
        <f ca="1">INDIRECT(ADDRESS(31,7))&amp;":"&amp;INDIRECT(ADDRESS(31,6))</f>
        <v>3:13</v>
      </c>
      <c r="I4" s="6" t="str">
        <f ca="1">INDIRECT(ADDRESS(36,6))&amp;":"&amp;INDIRECT(ADDRESS(36,7))</f>
        <v>13:5</v>
      </c>
      <c r="J4" s="6" t="str">
        <f ca="1">INDIRECT(ADDRESS(42,7))&amp;":"&amp;INDIRECT(ADDRESS(42,6))</f>
        <v>13:8</v>
      </c>
      <c r="K4" s="20" t="str">
        <f ca="1">INDIRECT(ADDRESS(20,6))&amp;":"&amp;INDIRECT(ADDRESS(20,7))</f>
        <v>13:8</v>
      </c>
      <c r="L4" s="151">
        <f ca="1">IF(COUNT(F5:K5)=0,"",COUNTIF(F5:K5,"&gt;0")+0.5*COUNTIF(F5:K5,0))</f>
        <v>4</v>
      </c>
      <c r="M4" s="23"/>
      <c r="N4" s="88">
        <v>2</v>
      </c>
    </row>
    <row r="5" spans="2:14" ht="24" customHeight="1" x14ac:dyDescent="0.25">
      <c r="B5" s="95"/>
      <c r="C5" s="105"/>
      <c r="D5" s="106"/>
      <c r="E5" s="107"/>
      <c r="F5" s="13" t="s">
        <v>30</v>
      </c>
      <c r="G5" s="16">
        <f ca="1">IF(LEN(INDIRECT(ADDRESS(ROW()-1, COLUMN())))=1,"",INDIRECT(ADDRESS(27,6))-INDIRECT(ADDRESS(27,7)))</f>
        <v>8</v>
      </c>
      <c r="H5" s="16">
        <f ca="1">IF(LEN(INDIRECT(ADDRESS(ROW()-1, COLUMN())))=1,"",INDIRECT(ADDRESS(31,7))-INDIRECT(ADDRESS(31,6)))</f>
        <v>-10</v>
      </c>
      <c r="I5" s="16">
        <f ca="1">IF(LEN(INDIRECT(ADDRESS(ROW()-1, COLUMN())))=1,"",INDIRECT(ADDRESS(36,6))-INDIRECT(ADDRESS(36,7)))</f>
        <v>8</v>
      </c>
      <c r="J5" s="16">
        <f ca="1">IF(LEN(INDIRECT(ADDRESS(ROW()-1, COLUMN())))=1,"",INDIRECT(ADDRESS(42,7))-INDIRECT(ADDRESS(42,6)))</f>
        <v>5</v>
      </c>
      <c r="K5" s="17">
        <f ca="1">IF(LEN(INDIRECT(ADDRESS(ROW()-1, COLUMN())))=1,"",INDIRECT(ADDRESS(20,6))-INDIRECT(ADDRESS(20,7)))</f>
        <v>5</v>
      </c>
      <c r="L5" s="144"/>
      <c r="M5" s="16">
        <f ca="1">IF(COUNT(F5:K5)=0,"",SUM(F5:K5))</f>
        <v>16</v>
      </c>
      <c r="N5" s="89"/>
    </row>
    <row r="6" spans="2:14" ht="24" customHeight="1" x14ac:dyDescent="0.25">
      <c r="B6" s="104">
        <v>2</v>
      </c>
      <c r="C6" s="126" t="s">
        <v>61</v>
      </c>
      <c r="D6" s="127"/>
      <c r="E6" s="128"/>
      <c r="F6" s="12" t="str">
        <f ca="1">INDIRECT(ADDRESS(27,7))&amp;":"&amp;INDIRECT(ADDRESS(27,6))</f>
        <v>5:13</v>
      </c>
      <c r="G6" s="8" t="s">
        <v>30</v>
      </c>
      <c r="H6" s="7" t="str">
        <f ca="1">INDIRECT(ADDRESS(37,6))&amp;":"&amp;INDIRECT(ADDRESS(37,7))</f>
        <v>1:13</v>
      </c>
      <c r="I6" s="7" t="str">
        <f ca="1">INDIRECT(ADDRESS(41,7))&amp;":"&amp;INDIRECT(ADDRESS(41,6))</f>
        <v>13:11</v>
      </c>
      <c r="J6" s="7" t="str">
        <f ca="1">INDIRECT(ADDRESS(21,6))&amp;":"&amp;INDIRECT(ADDRESS(21,7))</f>
        <v>13:2</v>
      </c>
      <c r="K6" s="11" t="str">
        <f ca="1">INDIRECT(ADDRESS(30,6))&amp;":"&amp;INDIRECT(ADDRESS(30,7))</f>
        <v>10:13</v>
      </c>
      <c r="L6" s="144">
        <f ca="1">IF(COUNT(F7:K7)=0,"",COUNTIF(F7:K7,"&gt;0")+0.5*COUNTIF(F7:K7,0))</f>
        <v>2</v>
      </c>
      <c r="M6" s="16"/>
      <c r="N6" s="110">
        <v>3</v>
      </c>
    </row>
    <row r="7" spans="2:14" ht="24" customHeight="1" x14ac:dyDescent="0.25">
      <c r="B7" s="95"/>
      <c r="C7" s="126"/>
      <c r="D7" s="127"/>
      <c r="E7" s="128"/>
      <c r="F7" s="22">
        <f ca="1">IF(LEN(INDIRECT(ADDRESS(ROW()-1, COLUMN())))=1,"",INDIRECT(ADDRESS(27,7))-INDIRECT(ADDRESS(27,6)))</f>
        <v>-8</v>
      </c>
      <c r="G7" s="14" t="s">
        <v>30</v>
      </c>
      <c r="H7" s="16">
        <f ca="1">IF(LEN(INDIRECT(ADDRESS(ROW()-1, COLUMN())))=1,"",INDIRECT(ADDRESS(37,6))-INDIRECT(ADDRESS(37,7)))</f>
        <v>-12</v>
      </c>
      <c r="I7" s="16">
        <f ca="1">IF(LEN(INDIRECT(ADDRESS(ROW()-1, COLUMN())))=1,"",INDIRECT(ADDRESS(41,7))-INDIRECT(ADDRESS(41,6)))</f>
        <v>2</v>
      </c>
      <c r="J7" s="16">
        <f ca="1">IF(LEN(INDIRECT(ADDRESS(ROW()-1, COLUMN())))=1,"",INDIRECT(ADDRESS(21,6))-INDIRECT(ADDRESS(21,7)))</f>
        <v>11</v>
      </c>
      <c r="K7" s="17">
        <f ca="1">IF(LEN(INDIRECT(ADDRESS(ROW()-1, COLUMN())))=1,"",INDIRECT(ADDRESS(30,6))-INDIRECT(ADDRESS(30,7)))</f>
        <v>-3</v>
      </c>
      <c r="L7" s="144"/>
      <c r="M7" s="16">
        <f ca="1">IF(COUNT(F7:K7)=0,"",SUM(F7:K7))</f>
        <v>-10</v>
      </c>
      <c r="N7" s="89"/>
    </row>
    <row r="8" spans="2:14" ht="24" customHeight="1" x14ac:dyDescent="0.25">
      <c r="B8" s="104">
        <v>3</v>
      </c>
      <c r="C8" s="105" t="s">
        <v>62</v>
      </c>
      <c r="D8" s="106"/>
      <c r="E8" s="107"/>
      <c r="F8" s="12" t="str">
        <f ca="1">INDIRECT(ADDRESS(31,6))&amp;":"&amp;INDIRECT(ADDRESS(31,7))</f>
        <v>13:3</v>
      </c>
      <c r="G8" s="7" t="str">
        <f ca="1">INDIRECT(ADDRESS(37,7))&amp;":"&amp;INDIRECT(ADDRESS(37,6))</f>
        <v>13:1</v>
      </c>
      <c r="H8" s="8" t="s">
        <v>30</v>
      </c>
      <c r="I8" s="7" t="str">
        <f ca="1">INDIRECT(ADDRESS(22,6))&amp;":"&amp;INDIRECT(ADDRESS(22,7))</f>
        <v>13:7</v>
      </c>
      <c r="J8" s="7" t="str">
        <f ca="1">INDIRECT(ADDRESS(26,7))&amp;":"&amp;INDIRECT(ADDRESS(26,6))</f>
        <v>13:4</v>
      </c>
      <c r="K8" s="11" t="str">
        <f ca="1">INDIRECT(ADDRESS(40,6))&amp;":"&amp;INDIRECT(ADDRESS(40,7))</f>
        <v>13:10</v>
      </c>
      <c r="L8" s="144">
        <f ca="1">IF(COUNT(F9:K9)=0,"",COUNTIF(F9:K9,"&gt;0")+0.5*COUNTIF(F9:K9,0))</f>
        <v>5</v>
      </c>
      <c r="M8" s="16"/>
      <c r="N8" s="110">
        <v>1</v>
      </c>
    </row>
    <row r="9" spans="2:14" ht="24" customHeight="1" x14ac:dyDescent="0.25">
      <c r="B9" s="95"/>
      <c r="C9" s="105"/>
      <c r="D9" s="106"/>
      <c r="E9" s="107"/>
      <c r="F9" s="22">
        <f ca="1">IF(LEN(INDIRECT(ADDRESS(ROW()-1, COLUMN())))=1,"",INDIRECT(ADDRESS(31,6))-INDIRECT(ADDRESS(31,7)))</f>
        <v>10</v>
      </c>
      <c r="G9" s="16">
        <f ca="1">IF(LEN(INDIRECT(ADDRESS(ROW()-1, COLUMN())))=1,"",INDIRECT(ADDRESS(37,7))-INDIRECT(ADDRESS(37,6)))</f>
        <v>12</v>
      </c>
      <c r="H9" s="14" t="s">
        <v>30</v>
      </c>
      <c r="I9" s="16">
        <f ca="1">IF(LEN(INDIRECT(ADDRESS(ROW()-1, COLUMN())))=1,"",INDIRECT(ADDRESS(22,6))-INDIRECT(ADDRESS(22,7)))</f>
        <v>6</v>
      </c>
      <c r="J9" s="16">
        <f ca="1">IF(LEN(INDIRECT(ADDRESS(ROW()-1, COLUMN())))=1,"",INDIRECT(ADDRESS(26,7))-INDIRECT(ADDRESS(26,6)))</f>
        <v>9</v>
      </c>
      <c r="K9" s="17">
        <f ca="1">IF(LEN(INDIRECT(ADDRESS(ROW()-1, COLUMN())))=1,"",INDIRECT(ADDRESS(40,6))-INDIRECT(ADDRESS(40,7)))</f>
        <v>3</v>
      </c>
      <c r="L9" s="144"/>
      <c r="M9" s="16">
        <f ca="1">IF(COUNT(F9:K9)=0,"",SUM(F9:K9))</f>
        <v>40</v>
      </c>
      <c r="N9" s="89"/>
    </row>
    <row r="10" spans="2:14" ht="24" customHeight="1" x14ac:dyDescent="0.25">
      <c r="B10" s="104">
        <v>4</v>
      </c>
      <c r="C10" s="99" t="s">
        <v>63</v>
      </c>
      <c r="D10" s="100"/>
      <c r="E10" s="101"/>
      <c r="F10" s="12" t="str">
        <f ca="1">INDIRECT(ADDRESS(36,7))&amp;":"&amp;INDIRECT(ADDRESS(36,6))</f>
        <v>5:13</v>
      </c>
      <c r="G10" s="7" t="str">
        <f ca="1">INDIRECT(ADDRESS(41,6))&amp;":"&amp;INDIRECT(ADDRESS(41,7))</f>
        <v>11:13</v>
      </c>
      <c r="H10" s="7" t="str">
        <f ca="1">INDIRECT(ADDRESS(22,7))&amp;":"&amp;INDIRECT(ADDRESS(22,6))</f>
        <v>7:13</v>
      </c>
      <c r="I10" s="8" t="s">
        <v>30</v>
      </c>
      <c r="J10" s="7" t="str">
        <f ca="1">INDIRECT(ADDRESS(32,6))&amp;":"&amp;INDIRECT(ADDRESS(32,7))</f>
        <v>12:11</v>
      </c>
      <c r="K10" s="11" t="str">
        <f ca="1">INDIRECT(ADDRESS(25,7))&amp;":"&amp;INDIRECT(ADDRESS(25,6))</f>
        <v>13:12</v>
      </c>
      <c r="L10" s="144">
        <f ca="1">IF(COUNT(F11:K11)=0,"",COUNTIF(F11:K11,"&gt;0")+0.5*COUNTIF(F11:K11,0))</f>
        <v>2</v>
      </c>
      <c r="M10" s="16"/>
      <c r="N10" s="110">
        <v>4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-8</v>
      </c>
      <c r="G11" s="16">
        <f ca="1">IF(LEN(INDIRECT(ADDRESS(ROW()-1, COLUMN())))=1,"",INDIRECT(ADDRESS(41,6))-INDIRECT(ADDRESS(41,7)))</f>
        <v>-2</v>
      </c>
      <c r="H11" s="16">
        <f ca="1">IF(LEN(INDIRECT(ADDRESS(ROW()-1, COLUMN())))=1,"",INDIRECT(ADDRESS(22,7))-INDIRECT(ADDRESS(22,6)))</f>
        <v>-6</v>
      </c>
      <c r="I11" s="14" t="s">
        <v>30</v>
      </c>
      <c r="J11" s="16">
        <f ca="1">IF(LEN(INDIRECT(ADDRESS(ROW()-1, COLUMN())))=1,"",INDIRECT(ADDRESS(32,6))-INDIRECT(ADDRESS(32,7)))</f>
        <v>1</v>
      </c>
      <c r="K11" s="17">
        <f ca="1">IF(LEN(INDIRECT(ADDRESS(ROW()-1, COLUMN())))=1,"",INDIRECT(ADDRESS(25,7))-INDIRECT(ADDRESS(25,6)))</f>
        <v>1</v>
      </c>
      <c r="L11" s="144"/>
      <c r="M11" s="16">
        <f ca="1">IF(COUNT(F11:K11)=0,"",SUM(F11:K11))</f>
        <v>-14</v>
      </c>
      <c r="N11" s="89"/>
    </row>
    <row r="12" spans="2:14" ht="24" customHeight="1" x14ac:dyDescent="0.25">
      <c r="B12" s="104">
        <v>5</v>
      </c>
      <c r="C12" s="99" t="s">
        <v>64</v>
      </c>
      <c r="D12" s="100"/>
      <c r="E12" s="101"/>
      <c r="F12" s="12" t="str">
        <f ca="1">INDIRECT(ADDRESS(42,6))&amp;":"&amp;INDIRECT(ADDRESS(42,7))</f>
        <v>8:13</v>
      </c>
      <c r="G12" s="7" t="str">
        <f ca="1">INDIRECT(ADDRESS(21,7))&amp;":"&amp;INDIRECT(ADDRESS(21,6))</f>
        <v>2:13</v>
      </c>
      <c r="H12" s="7" t="str">
        <f ca="1">INDIRECT(ADDRESS(26,6))&amp;":"&amp;INDIRECT(ADDRESS(26,7))</f>
        <v>4:13</v>
      </c>
      <c r="I12" s="7" t="str">
        <f ca="1">INDIRECT(ADDRESS(32,7))&amp;":"&amp;INDIRECT(ADDRESS(32,6))</f>
        <v>11:12</v>
      </c>
      <c r="J12" s="8" t="s">
        <v>30</v>
      </c>
      <c r="K12" s="11" t="str">
        <f ca="1">INDIRECT(ADDRESS(35,7))&amp;":"&amp;INDIRECT(ADDRESS(35,6))</f>
        <v>13:3</v>
      </c>
      <c r="L12" s="144">
        <f ca="1">IF(COUNT(F13:K13)=0,"",COUNTIF(F13:K13,"&gt;0")+0.5*COUNTIF(F13:K13,0))</f>
        <v>1</v>
      </c>
      <c r="M12" s="16"/>
      <c r="N12" s="110">
        <v>5</v>
      </c>
    </row>
    <row r="13" spans="2:14" ht="24" customHeight="1" x14ac:dyDescent="0.25">
      <c r="B13" s="95"/>
      <c r="C13" s="99"/>
      <c r="D13" s="100"/>
      <c r="E13" s="101"/>
      <c r="F13" s="22">
        <f ca="1">IF(LEN(INDIRECT(ADDRESS(ROW()-1, COLUMN())))=1,"",INDIRECT(ADDRESS(42,6))-INDIRECT(ADDRESS(42,7)))</f>
        <v>-5</v>
      </c>
      <c r="G13" s="16">
        <f ca="1">IF(LEN(INDIRECT(ADDRESS(ROW()-1, COLUMN())))=1,"",INDIRECT(ADDRESS(21,7))-INDIRECT(ADDRESS(21,6)))</f>
        <v>-11</v>
      </c>
      <c r="H13" s="16">
        <f ca="1">IF(LEN(INDIRECT(ADDRESS(ROW()-1, COLUMN())))=1,"",INDIRECT(ADDRESS(26,6))-INDIRECT(ADDRESS(26,7)))</f>
        <v>-9</v>
      </c>
      <c r="I13" s="16">
        <f ca="1">IF(LEN(INDIRECT(ADDRESS(ROW()-1, COLUMN())))=1,"",INDIRECT(ADDRESS(32,7))-INDIRECT(ADDRESS(32,6)))</f>
        <v>-1</v>
      </c>
      <c r="J13" s="14" t="s">
        <v>30</v>
      </c>
      <c r="K13" s="17">
        <f ca="1">IF(LEN(INDIRECT(ADDRESS(ROW()-1, COLUMN())))=1,"",INDIRECT(ADDRESS(35,7))-INDIRECT(ADDRESS(35,6)))</f>
        <v>10</v>
      </c>
      <c r="L13" s="144"/>
      <c r="M13" s="16">
        <f ca="1">IF(COUNT(F13:K13)=0,"",SUM(F13:K13))</f>
        <v>-16</v>
      </c>
      <c r="N13" s="89"/>
    </row>
    <row r="14" spans="2:14" ht="24" customHeight="1" x14ac:dyDescent="0.25">
      <c r="B14" s="104">
        <v>6</v>
      </c>
      <c r="C14" s="99" t="s">
        <v>65</v>
      </c>
      <c r="D14" s="100"/>
      <c r="E14" s="101"/>
      <c r="F14" s="12" t="str">
        <f ca="1">INDIRECT(ADDRESS(20,7))&amp;":"&amp;INDIRECT(ADDRESS(20,6))</f>
        <v>8:13</v>
      </c>
      <c r="G14" s="7" t="str">
        <f ca="1">INDIRECT(ADDRESS(30,7))&amp;":"&amp;INDIRECT(ADDRESS(30,6))</f>
        <v>13:10</v>
      </c>
      <c r="H14" s="7" t="str">
        <f ca="1">INDIRECT(ADDRESS(40,7))&amp;":"&amp;INDIRECT(ADDRESS(40,6))</f>
        <v>10:13</v>
      </c>
      <c r="I14" s="7" t="str">
        <f ca="1">INDIRECT(ADDRESS(25,6))&amp;":"&amp;INDIRECT(ADDRESS(25,7))</f>
        <v>12:13</v>
      </c>
      <c r="J14" s="7" t="str">
        <f ca="1">INDIRECT(ADDRESS(35,6))&amp;":"&amp;INDIRECT(ADDRESS(35,7))</f>
        <v>3:13</v>
      </c>
      <c r="K14" s="50" t="s">
        <v>30</v>
      </c>
      <c r="L14" s="144">
        <f ca="1">IF(COUNT(F15:K15)=0,"",COUNTIF(F15:K15,"&gt;0")+0.5*COUNTIF(F15:K15,0))</f>
        <v>1</v>
      </c>
      <c r="M14" s="16"/>
      <c r="N14" s="110">
        <v>6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-5</v>
      </c>
      <c r="G15" s="18">
        <f ca="1">IF(LEN(INDIRECT(ADDRESS(ROW()-1, COLUMN())))=1,"",INDIRECT(ADDRESS(30,7))-INDIRECT(ADDRESS(30,6)))</f>
        <v>3</v>
      </c>
      <c r="H15" s="18">
        <f ca="1">IF(LEN(INDIRECT(ADDRESS(ROW()-1, COLUMN())))=1,"",INDIRECT(ADDRESS(40,7))-INDIRECT(ADDRESS(40,6)))</f>
        <v>-3</v>
      </c>
      <c r="I15" s="18">
        <f ca="1">IF(LEN(INDIRECT(ADDRESS(ROW()-1, COLUMN())))=1,"",INDIRECT(ADDRESS(25,6))-INDIRECT(ADDRESS(25,7)))</f>
        <v>-1</v>
      </c>
      <c r="J15" s="18">
        <f ca="1">IF(LEN(INDIRECT(ADDRESS(ROW()-1, COLUMN())))=1,"",INDIRECT(ADDRESS(35,6))-INDIRECT(ADDRESS(35,7)))</f>
        <v>-10</v>
      </c>
      <c r="K15" s="15" t="s">
        <v>30</v>
      </c>
      <c r="L15" s="145"/>
      <c r="M15" s="18">
        <f ca="1">IF(COUNT(F15:K15)=0,"",SUM(F15:K15))</f>
        <v>-16</v>
      </c>
      <c r="N15" s="146"/>
    </row>
    <row r="16" spans="2:14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  <c r="M19"/>
    </row>
    <row r="20" spans="2:13" ht="30" customHeight="1" thickBot="1" x14ac:dyDescent="0.3">
      <c r="B20" s="5">
        <v>1</v>
      </c>
      <c r="C20" s="111" t="str">
        <f ca="1">IF(ISBLANK(INDIRECT(ADDRESS(B20*2+2,3))),"",INDIRECT(ADDRESS(B20*2+2,3)))</f>
        <v>Федотов</v>
      </c>
      <c r="D20" s="111"/>
      <c r="E20" s="112"/>
      <c r="F20" s="24">
        <v>13</v>
      </c>
      <c r="G20" s="25">
        <v>8</v>
      </c>
      <c r="H20" s="113" t="str">
        <f ca="1">IF(ISBLANK(INDIRECT(ADDRESS(K20*2+2,3))),"",INDIRECT(ADDRESS(K20*2+2,3)))</f>
        <v>Манукян</v>
      </c>
      <c r="I20" s="111"/>
      <c r="J20" s="111"/>
      <c r="K20" s="5">
        <v>6</v>
      </c>
      <c r="L20" s="27" t="s">
        <v>10</v>
      </c>
      <c r="M20" s="26">
        <v>1</v>
      </c>
    </row>
    <row r="21" spans="2:13" ht="30" customHeight="1" thickBot="1" x14ac:dyDescent="0.3">
      <c r="B21" s="5">
        <v>2</v>
      </c>
      <c r="C21" s="111" t="str">
        <f ca="1">IF(ISBLANK(INDIRECT(ADDRESS(B21*2+2,3))),"",INDIRECT(ADDRESS(B21*2+2,3)))</f>
        <v>Гришин</v>
      </c>
      <c r="D21" s="111"/>
      <c r="E21" s="112"/>
      <c r="F21" s="24">
        <v>13</v>
      </c>
      <c r="G21" s="25">
        <v>2</v>
      </c>
      <c r="H21" s="113" t="str">
        <f ca="1">IF(ISBLANK(INDIRECT(ADDRESS(K21*2+2,3))),"",INDIRECT(ADDRESS(K21*2+2,3)))</f>
        <v>Мишарин</v>
      </c>
      <c r="I21" s="111"/>
      <c r="J21" s="111"/>
      <c r="K21" s="5">
        <v>5</v>
      </c>
      <c r="L21" s="27" t="s">
        <v>10</v>
      </c>
      <c r="M21" s="26">
        <v>2</v>
      </c>
    </row>
    <row r="22" spans="2:13" ht="30" customHeight="1" thickBot="1" x14ac:dyDescent="0.3">
      <c r="B22" s="5">
        <v>3</v>
      </c>
      <c r="C22" s="111" t="str">
        <f ca="1">IF(ISBLANK(INDIRECT(ADDRESS(B22*2+2,3))),"",INDIRECT(ADDRESS(B22*2+2,3)))</f>
        <v>Африканов</v>
      </c>
      <c r="D22" s="111"/>
      <c r="E22" s="112"/>
      <c r="F22" s="24">
        <v>13</v>
      </c>
      <c r="G22" s="25">
        <v>7</v>
      </c>
      <c r="H22" s="113" t="str">
        <f ca="1">IF(ISBLANK(INDIRECT(ADDRESS(K22*2+2,3))),"",INDIRECT(ADDRESS(K22*2+2,3)))</f>
        <v>Сафонов</v>
      </c>
      <c r="I22" s="111"/>
      <c r="J22" s="111"/>
      <c r="K22" s="5">
        <v>4</v>
      </c>
      <c r="L22" s="27" t="s">
        <v>10</v>
      </c>
      <c r="M22" s="26">
        <v>3</v>
      </c>
    </row>
    <row r="23" spans="2:13" ht="30" customHeight="1" x14ac:dyDescent="0.25"/>
    <row r="24" spans="2:13" ht="30" customHeight="1" thickBot="1" x14ac:dyDescent="0.3"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</row>
    <row r="25" spans="2:13" ht="30" customHeight="1" thickBot="1" x14ac:dyDescent="0.3">
      <c r="B25" s="5">
        <v>6</v>
      </c>
      <c r="C25" s="111" t="str">
        <f ca="1">IF(ISBLANK(INDIRECT(ADDRESS(B25*2+2,3))),"",INDIRECT(ADDRESS(B25*2+2,3)))</f>
        <v>Манукян</v>
      </c>
      <c r="D25" s="111"/>
      <c r="E25" s="112"/>
      <c r="F25" s="24">
        <v>12</v>
      </c>
      <c r="G25" s="25">
        <v>13</v>
      </c>
      <c r="H25" s="113" t="str">
        <f ca="1">IF(ISBLANK(INDIRECT(ADDRESS(K25*2+2,3))),"",INDIRECT(ADDRESS(K25*2+2,3)))</f>
        <v>Сафонов</v>
      </c>
      <c r="I25" s="111"/>
      <c r="J25" s="111"/>
      <c r="K25" s="5">
        <v>4</v>
      </c>
      <c r="L25" s="27" t="s">
        <v>10</v>
      </c>
      <c r="M25" s="26">
        <v>2</v>
      </c>
    </row>
    <row r="26" spans="2:13" ht="30" customHeight="1" thickBot="1" x14ac:dyDescent="0.3">
      <c r="B26" s="5">
        <v>5</v>
      </c>
      <c r="C26" s="111" t="str">
        <f ca="1">IF(ISBLANK(INDIRECT(ADDRESS(B26*2+2,3))),"",INDIRECT(ADDRESS(B26*2+2,3)))</f>
        <v>Мишарин</v>
      </c>
      <c r="D26" s="111"/>
      <c r="E26" s="112"/>
      <c r="F26" s="24">
        <v>4</v>
      </c>
      <c r="G26" s="25">
        <v>13</v>
      </c>
      <c r="H26" s="113" t="str">
        <f ca="1">IF(ISBLANK(INDIRECT(ADDRESS(K26*2+2,3))),"",INDIRECT(ADDRESS(K26*2+2,3)))</f>
        <v>Африканов</v>
      </c>
      <c r="I26" s="111"/>
      <c r="J26" s="111"/>
      <c r="K26" s="5">
        <v>3</v>
      </c>
      <c r="L26" s="27" t="s">
        <v>10</v>
      </c>
      <c r="M26" s="26">
        <v>3</v>
      </c>
    </row>
    <row r="27" spans="2:13" ht="30" customHeight="1" thickBot="1" x14ac:dyDescent="0.3">
      <c r="B27" s="5">
        <v>1</v>
      </c>
      <c r="C27" s="111" t="str">
        <f ca="1">IF(ISBLANK(INDIRECT(ADDRESS(B27*2+2,3))),"",INDIRECT(ADDRESS(B27*2+2,3)))</f>
        <v>Федотов</v>
      </c>
      <c r="D27" s="111"/>
      <c r="E27" s="112"/>
      <c r="F27" s="24">
        <v>13</v>
      </c>
      <c r="G27" s="25">
        <v>5</v>
      </c>
      <c r="H27" s="113" t="str">
        <f ca="1">IF(ISBLANK(INDIRECT(ADDRESS(K27*2+2,3))),"",INDIRECT(ADDRESS(K27*2+2,3)))</f>
        <v>Гришин</v>
      </c>
      <c r="I27" s="111"/>
      <c r="J27" s="111"/>
      <c r="K27" s="5">
        <v>2</v>
      </c>
      <c r="L27" s="27" t="s">
        <v>10</v>
      </c>
      <c r="M27" s="26">
        <v>4</v>
      </c>
    </row>
    <row r="28" spans="2:13" ht="30" customHeight="1" x14ac:dyDescent="0.25"/>
    <row r="29" spans="2:13" ht="30" customHeight="1" thickBot="1" x14ac:dyDescent="0.3"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</row>
    <row r="30" spans="2:13" ht="30" customHeight="1" thickBot="1" x14ac:dyDescent="0.3">
      <c r="B30" s="5">
        <v>2</v>
      </c>
      <c r="C30" s="111" t="str">
        <f ca="1">IF(ISBLANK(INDIRECT(ADDRESS(B30*2+2,3))),"",INDIRECT(ADDRESS(B30*2+2,3)))</f>
        <v>Гришин</v>
      </c>
      <c r="D30" s="111"/>
      <c r="E30" s="112"/>
      <c r="F30" s="24">
        <v>10</v>
      </c>
      <c r="G30" s="25">
        <v>13</v>
      </c>
      <c r="H30" s="113" t="str">
        <f ca="1">IF(ISBLANK(INDIRECT(ADDRESS(K30*2+2,3))),"",INDIRECT(ADDRESS(K30*2+2,3)))</f>
        <v>Манукян</v>
      </c>
      <c r="I30" s="111"/>
      <c r="J30" s="111"/>
      <c r="K30" s="5">
        <v>6</v>
      </c>
      <c r="L30" s="27" t="s">
        <v>10</v>
      </c>
      <c r="M30" s="26">
        <v>3</v>
      </c>
    </row>
    <row r="31" spans="2:13" ht="30" customHeight="1" thickBot="1" x14ac:dyDescent="0.3">
      <c r="B31" s="5">
        <v>3</v>
      </c>
      <c r="C31" s="111" t="str">
        <f ca="1">IF(ISBLANK(INDIRECT(ADDRESS(B31*2+2,3))),"",INDIRECT(ADDRESS(B31*2+2,3)))</f>
        <v>Африканов</v>
      </c>
      <c r="D31" s="111"/>
      <c r="E31" s="112"/>
      <c r="F31" s="24">
        <v>13</v>
      </c>
      <c r="G31" s="25">
        <v>3</v>
      </c>
      <c r="H31" s="113" t="str">
        <f ca="1">IF(ISBLANK(INDIRECT(ADDRESS(K31*2+2,3))),"",INDIRECT(ADDRESS(K31*2+2,3)))</f>
        <v>Федотов</v>
      </c>
      <c r="I31" s="111"/>
      <c r="J31" s="111"/>
      <c r="K31" s="5">
        <v>1</v>
      </c>
      <c r="L31" s="27" t="s">
        <v>10</v>
      </c>
      <c r="M31" s="26">
        <v>4</v>
      </c>
    </row>
    <row r="32" spans="2:13" ht="30" customHeight="1" thickBot="1" x14ac:dyDescent="0.3">
      <c r="B32" s="5">
        <v>4</v>
      </c>
      <c r="C32" s="111" t="str">
        <f ca="1">IF(ISBLANK(INDIRECT(ADDRESS(B32*2+2,3))),"",INDIRECT(ADDRESS(B32*2+2,3)))</f>
        <v>Сафонов</v>
      </c>
      <c r="D32" s="111"/>
      <c r="E32" s="112"/>
      <c r="F32" s="24">
        <v>12</v>
      </c>
      <c r="G32" s="25">
        <v>11</v>
      </c>
      <c r="H32" s="113" t="str">
        <f ca="1">IF(ISBLANK(INDIRECT(ADDRESS(K32*2+2,3))),"",INDIRECT(ADDRESS(K32*2+2,3)))</f>
        <v>Мишарин</v>
      </c>
      <c r="I32" s="111"/>
      <c r="J32" s="111"/>
      <c r="K32" s="5">
        <v>5</v>
      </c>
      <c r="L32" s="27" t="s">
        <v>10</v>
      </c>
      <c r="M32" s="26">
        <v>1</v>
      </c>
    </row>
    <row r="33" spans="2:13" ht="30" customHeight="1" x14ac:dyDescent="0.25"/>
    <row r="34" spans="2:13" ht="30" customHeight="1" thickBot="1" x14ac:dyDescent="0.3"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2:13" ht="30" customHeight="1" thickBot="1" x14ac:dyDescent="0.3">
      <c r="B35" s="5">
        <v>6</v>
      </c>
      <c r="C35" s="111" t="str">
        <f ca="1">IF(ISBLANK(INDIRECT(ADDRESS(B35*2+2,3))),"",INDIRECT(ADDRESS(B35*2+2,3)))</f>
        <v>Манукян</v>
      </c>
      <c r="D35" s="111"/>
      <c r="E35" s="112"/>
      <c r="F35" s="24">
        <v>3</v>
      </c>
      <c r="G35" s="25">
        <v>13</v>
      </c>
      <c r="H35" s="113" t="str">
        <f ca="1">IF(ISBLANK(INDIRECT(ADDRESS(K35*2+2,3))),"",INDIRECT(ADDRESS(K35*2+2,3)))</f>
        <v>Мишарин</v>
      </c>
      <c r="I35" s="111"/>
      <c r="J35" s="111"/>
      <c r="K35" s="5">
        <v>5</v>
      </c>
      <c r="L35" s="27" t="s">
        <v>10</v>
      </c>
      <c r="M35" s="26">
        <v>4</v>
      </c>
    </row>
    <row r="36" spans="2:13" ht="30" customHeight="1" thickBot="1" x14ac:dyDescent="0.3">
      <c r="B36" s="5">
        <v>1</v>
      </c>
      <c r="C36" s="111" t="str">
        <f ca="1">IF(ISBLANK(INDIRECT(ADDRESS(B36*2+2,3))),"",INDIRECT(ADDRESS(B36*2+2,3)))</f>
        <v>Федотов</v>
      </c>
      <c r="D36" s="111"/>
      <c r="E36" s="112"/>
      <c r="F36" s="24">
        <v>13</v>
      </c>
      <c r="G36" s="25">
        <v>5</v>
      </c>
      <c r="H36" s="113" t="str">
        <f ca="1">IF(ISBLANK(INDIRECT(ADDRESS(K36*2+2,3))),"",INDIRECT(ADDRESS(K36*2+2,3)))</f>
        <v>Сафонов</v>
      </c>
      <c r="I36" s="111"/>
      <c r="J36" s="111"/>
      <c r="K36" s="5">
        <v>4</v>
      </c>
      <c r="L36" s="27" t="s">
        <v>10</v>
      </c>
      <c r="M36" s="26">
        <v>1</v>
      </c>
    </row>
    <row r="37" spans="2:13" ht="30" customHeight="1" thickBot="1" x14ac:dyDescent="0.3">
      <c r="B37" s="5">
        <v>2</v>
      </c>
      <c r="C37" s="111" t="str">
        <f ca="1">IF(ISBLANK(INDIRECT(ADDRESS(B37*2+2,3))),"",INDIRECT(ADDRESS(B37*2+2,3)))</f>
        <v>Гришин</v>
      </c>
      <c r="D37" s="111"/>
      <c r="E37" s="112"/>
      <c r="F37" s="24">
        <v>1</v>
      </c>
      <c r="G37" s="25">
        <v>13</v>
      </c>
      <c r="H37" s="113" t="str">
        <f ca="1">IF(ISBLANK(INDIRECT(ADDRESS(K37*2+2,3))),"",INDIRECT(ADDRESS(K37*2+2,3)))</f>
        <v>Африканов</v>
      </c>
      <c r="I37" s="111"/>
      <c r="J37" s="111"/>
      <c r="K37" s="5">
        <v>3</v>
      </c>
      <c r="L37" s="27" t="s">
        <v>10</v>
      </c>
      <c r="M37" s="26">
        <v>2</v>
      </c>
    </row>
    <row r="38" spans="2:13" ht="30" customHeight="1" x14ac:dyDescent="0.25"/>
    <row r="39" spans="2:13" ht="30" customHeight="1" thickBot="1" x14ac:dyDescent="0.3"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</row>
    <row r="40" spans="2:13" ht="30" customHeight="1" thickBot="1" x14ac:dyDescent="0.3">
      <c r="B40" s="5">
        <v>3</v>
      </c>
      <c r="C40" s="111" t="str">
        <f ca="1">IF(ISBLANK(INDIRECT(ADDRESS(B40*2+2,3))),"",INDIRECT(ADDRESS(B40*2+2,3)))</f>
        <v>Африканов</v>
      </c>
      <c r="D40" s="111"/>
      <c r="E40" s="112"/>
      <c r="F40" s="24">
        <v>13</v>
      </c>
      <c r="G40" s="25">
        <v>10</v>
      </c>
      <c r="H40" s="113" t="str">
        <f ca="1">IF(ISBLANK(INDIRECT(ADDRESS(K40*2+2,3))),"",INDIRECT(ADDRESS(K40*2+2,3)))</f>
        <v>Манукян</v>
      </c>
      <c r="I40" s="111"/>
      <c r="J40" s="111"/>
      <c r="K40" s="5">
        <v>6</v>
      </c>
      <c r="L40" s="27" t="s">
        <v>10</v>
      </c>
      <c r="M40" s="26">
        <v>1</v>
      </c>
    </row>
    <row r="41" spans="2:13" ht="30" customHeight="1" thickBot="1" x14ac:dyDescent="0.3">
      <c r="B41" s="5">
        <v>4</v>
      </c>
      <c r="C41" s="111" t="str">
        <f ca="1">IF(ISBLANK(INDIRECT(ADDRESS(B41*2+2,3))),"",INDIRECT(ADDRESS(B41*2+2,3)))</f>
        <v>Сафонов</v>
      </c>
      <c r="D41" s="111"/>
      <c r="E41" s="112"/>
      <c r="F41" s="24">
        <v>11</v>
      </c>
      <c r="G41" s="25">
        <v>13</v>
      </c>
      <c r="H41" s="113" t="str">
        <f ca="1">IF(ISBLANK(INDIRECT(ADDRESS(K41*2+2,3))),"",INDIRECT(ADDRESS(K41*2+2,3)))</f>
        <v>Гришин</v>
      </c>
      <c r="I41" s="111"/>
      <c r="J41" s="111"/>
      <c r="K41" s="5">
        <v>2</v>
      </c>
      <c r="L41" s="27" t="s">
        <v>10</v>
      </c>
      <c r="M41" s="26">
        <v>2</v>
      </c>
    </row>
    <row r="42" spans="2:13" ht="30" customHeight="1" thickBot="1" x14ac:dyDescent="0.3">
      <c r="B42" s="5">
        <v>5</v>
      </c>
      <c r="C42" s="111" t="str">
        <f ca="1">IF(ISBLANK(INDIRECT(ADDRESS(B42*2+2,3))),"",INDIRECT(ADDRESS(B42*2+2,3)))</f>
        <v>Мишарин</v>
      </c>
      <c r="D42" s="111"/>
      <c r="E42" s="112"/>
      <c r="F42" s="24">
        <v>8</v>
      </c>
      <c r="G42" s="25">
        <v>13</v>
      </c>
      <c r="H42" s="113" t="str">
        <f ca="1">IF(ISBLANK(INDIRECT(ADDRESS(K42*2+2,3))),"",INDIRECT(ADDRESS(K42*2+2,3)))</f>
        <v>Федотов</v>
      </c>
      <c r="I42" s="111"/>
      <c r="J42" s="111"/>
      <c r="K42" s="5">
        <v>1</v>
      </c>
      <c r="L42" s="27" t="s">
        <v>10</v>
      </c>
      <c r="M42" s="26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12" sqref="C12:E13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66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45676</v>
      </c>
    </row>
    <row r="2" spans="2:14" ht="15.75" thickBot="1" x14ac:dyDescent="0.3">
      <c r="M2"/>
    </row>
    <row r="3" spans="2:14" ht="30" customHeight="1" thickBot="1" x14ac:dyDescent="0.3">
      <c r="B3" s="59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48" t="s">
        <v>67</v>
      </c>
      <c r="D4" s="149"/>
      <c r="E4" s="150"/>
      <c r="F4" s="10" t="s">
        <v>30</v>
      </c>
      <c r="G4" s="6" t="str">
        <f ca="1">INDIRECT(ADDRESS(27,6))&amp;":"&amp;INDIRECT(ADDRESS(27,7))</f>
        <v>13:9</v>
      </c>
      <c r="H4" s="6" t="str">
        <f ca="1">INDIRECT(ADDRESS(31,7))&amp;":"&amp;INDIRECT(ADDRESS(31,6))</f>
        <v>9:11</v>
      </c>
      <c r="I4" s="6" t="str">
        <f ca="1">INDIRECT(ADDRESS(36,6))&amp;":"&amp;INDIRECT(ADDRESS(36,7))</f>
        <v>13:3</v>
      </c>
      <c r="J4" s="6" t="str">
        <f ca="1">INDIRECT(ADDRESS(42,7))&amp;":"&amp;INDIRECT(ADDRESS(42,6))</f>
        <v>12:13</v>
      </c>
      <c r="K4" s="20" t="str">
        <f ca="1">INDIRECT(ADDRESS(20,6))&amp;":"&amp;INDIRECT(ADDRESS(20,7))</f>
        <v>13:2</v>
      </c>
      <c r="L4" s="151">
        <f ca="1">IF(COUNT(F5:K5)=0,"",COUNTIF(F5:K5,"&gt;0")+0.5*COUNTIF(F5:K5,0))</f>
        <v>3</v>
      </c>
      <c r="M4" s="23"/>
      <c r="N4" s="88">
        <v>3</v>
      </c>
    </row>
    <row r="5" spans="2:14" ht="24" customHeight="1" x14ac:dyDescent="0.25">
      <c r="B5" s="95"/>
      <c r="C5" s="126"/>
      <c r="D5" s="127"/>
      <c r="E5" s="128"/>
      <c r="F5" s="13" t="s">
        <v>30</v>
      </c>
      <c r="G5" s="16">
        <f ca="1">IF(LEN(INDIRECT(ADDRESS(ROW()-1, COLUMN())))=1,"",INDIRECT(ADDRESS(27,6))-INDIRECT(ADDRESS(27,7)))</f>
        <v>4</v>
      </c>
      <c r="H5" s="16">
        <f ca="1">IF(LEN(INDIRECT(ADDRESS(ROW()-1, COLUMN())))=1,"",INDIRECT(ADDRESS(31,7))-INDIRECT(ADDRESS(31,6)))</f>
        <v>-2</v>
      </c>
      <c r="I5" s="16">
        <f ca="1">IF(LEN(INDIRECT(ADDRESS(ROW()-1, COLUMN())))=1,"",INDIRECT(ADDRESS(36,6))-INDIRECT(ADDRESS(36,7)))</f>
        <v>10</v>
      </c>
      <c r="J5" s="16">
        <f ca="1">IF(LEN(INDIRECT(ADDRESS(ROW()-1, COLUMN())))=1,"",INDIRECT(ADDRESS(42,7))-INDIRECT(ADDRESS(42,6)))</f>
        <v>-1</v>
      </c>
      <c r="K5" s="17">
        <f ca="1">IF(LEN(INDIRECT(ADDRESS(ROW()-1, COLUMN())))=1,"",INDIRECT(ADDRESS(20,6))-INDIRECT(ADDRESS(20,7)))</f>
        <v>11</v>
      </c>
      <c r="L5" s="144"/>
      <c r="M5" s="16">
        <f ca="1">IF(COUNT(F5:K5)=0,"",SUM(F5:K5))</f>
        <v>22</v>
      </c>
      <c r="N5" s="89"/>
    </row>
    <row r="6" spans="2:14" ht="24" customHeight="1" x14ac:dyDescent="0.25">
      <c r="B6" s="104">
        <v>2</v>
      </c>
      <c r="C6" s="99" t="s">
        <v>68</v>
      </c>
      <c r="D6" s="100"/>
      <c r="E6" s="101"/>
      <c r="F6" s="12" t="str">
        <f ca="1">INDIRECT(ADDRESS(27,7))&amp;":"&amp;INDIRECT(ADDRESS(27,6))</f>
        <v>9:13</v>
      </c>
      <c r="G6" s="8" t="s">
        <v>30</v>
      </c>
      <c r="H6" s="7" t="str">
        <f ca="1">INDIRECT(ADDRESS(37,6))&amp;":"&amp;INDIRECT(ADDRESS(37,7))</f>
        <v>10:13</v>
      </c>
      <c r="I6" s="7" t="str">
        <f ca="1">INDIRECT(ADDRESS(41,7))&amp;":"&amp;INDIRECT(ADDRESS(41,6))</f>
        <v>13:7</v>
      </c>
      <c r="J6" s="7" t="str">
        <f ca="1">INDIRECT(ADDRESS(21,6))&amp;":"&amp;INDIRECT(ADDRESS(21,7))</f>
        <v>8:13</v>
      </c>
      <c r="K6" s="11" t="str">
        <f ca="1">INDIRECT(ADDRESS(30,6))&amp;":"&amp;INDIRECT(ADDRESS(30,7))</f>
        <v>13:10</v>
      </c>
      <c r="L6" s="144">
        <f ca="1">IF(COUNT(F7:K7)=0,"",COUNTIF(F7:K7,"&gt;0")+0.5*COUNTIF(F7:K7,0))</f>
        <v>2</v>
      </c>
      <c r="M6" s="16"/>
      <c r="N6" s="110">
        <v>4</v>
      </c>
    </row>
    <row r="7" spans="2:14" ht="24" customHeight="1" x14ac:dyDescent="0.25">
      <c r="B7" s="95"/>
      <c r="C7" s="99"/>
      <c r="D7" s="100"/>
      <c r="E7" s="101"/>
      <c r="F7" s="22">
        <f ca="1">IF(LEN(INDIRECT(ADDRESS(ROW()-1, COLUMN())))=1,"",INDIRECT(ADDRESS(27,7))-INDIRECT(ADDRESS(27,6)))</f>
        <v>-4</v>
      </c>
      <c r="G7" s="14" t="s">
        <v>30</v>
      </c>
      <c r="H7" s="16">
        <f ca="1">IF(LEN(INDIRECT(ADDRESS(ROW()-1, COLUMN())))=1,"",INDIRECT(ADDRESS(37,6))-INDIRECT(ADDRESS(37,7)))</f>
        <v>-3</v>
      </c>
      <c r="I7" s="16">
        <f ca="1">IF(LEN(INDIRECT(ADDRESS(ROW()-1, COLUMN())))=1,"",INDIRECT(ADDRESS(41,7))-INDIRECT(ADDRESS(41,6)))</f>
        <v>6</v>
      </c>
      <c r="J7" s="16">
        <f ca="1">IF(LEN(INDIRECT(ADDRESS(ROW()-1, COLUMN())))=1,"",INDIRECT(ADDRESS(21,6))-INDIRECT(ADDRESS(21,7)))</f>
        <v>-5</v>
      </c>
      <c r="K7" s="17">
        <f ca="1">IF(LEN(INDIRECT(ADDRESS(ROW()-1, COLUMN())))=1,"",INDIRECT(ADDRESS(30,6))-INDIRECT(ADDRESS(30,7)))</f>
        <v>3</v>
      </c>
      <c r="L7" s="144"/>
      <c r="M7" s="16">
        <f ca="1">IF(COUNT(F7:K7)=0,"",SUM(F7:K7))</f>
        <v>-3</v>
      </c>
      <c r="N7" s="89"/>
    </row>
    <row r="8" spans="2:14" ht="24" customHeight="1" x14ac:dyDescent="0.25">
      <c r="B8" s="104">
        <v>3</v>
      </c>
      <c r="C8" s="105" t="s">
        <v>69</v>
      </c>
      <c r="D8" s="106"/>
      <c r="E8" s="107"/>
      <c r="F8" s="12" t="str">
        <f ca="1">INDIRECT(ADDRESS(31,6))&amp;":"&amp;INDIRECT(ADDRESS(31,7))</f>
        <v>11:9</v>
      </c>
      <c r="G8" s="7" t="str">
        <f ca="1">INDIRECT(ADDRESS(37,7))&amp;":"&amp;INDIRECT(ADDRESS(37,6))</f>
        <v>13:10</v>
      </c>
      <c r="H8" s="8" t="s">
        <v>30</v>
      </c>
      <c r="I8" s="7" t="str">
        <f ca="1">INDIRECT(ADDRESS(22,6))&amp;":"&amp;INDIRECT(ADDRESS(22,7))</f>
        <v>13:6</v>
      </c>
      <c r="J8" s="7" t="str">
        <f ca="1">INDIRECT(ADDRESS(26,7))&amp;":"&amp;INDIRECT(ADDRESS(26,6))</f>
        <v>10:12</v>
      </c>
      <c r="K8" s="11" t="str">
        <f ca="1">INDIRECT(ADDRESS(40,6))&amp;":"&amp;INDIRECT(ADDRESS(40,7))</f>
        <v>13:1</v>
      </c>
      <c r="L8" s="144">
        <f ca="1">IF(COUNT(F9:K9)=0,"",COUNTIF(F9:K9,"&gt;0")+0.5*COUNTIF(F9:K9,0))</f>
        <v>4</v>
      </c>
      <c r="M8" s="16"/>
      <c r="N8" s="110">
        <v>2</v>
      </c>
    </row>
    <row r="9" spans="2:14" ht="24" customHeight="1" x14ac:dyDescent="0.25">
      <c r="B9" s="95"/>
      <c r="C9" s="105"/>
      <c r="D9" s="106"/>
      <c r="E9" s="107"/>
      <c r="F9" s="22">
        <f ca="1">IF(LEN(INDIRECT(ADDRESS(ROW()-1, COLUMN())))=1,"",INDIRECT(ADDRESS(31,6))-INDIRECT(ADDRESS(31,7)))</f>
        <v>2</v>
      </c>
      <c r="G9" s="16">
        <f ca="1">IF(LEN(INDIRECT(ADDRESS(ROW()-1, COLUMN())))=1,"",INDIRECT(ADDRESS(37,7))-INDIRECT(ADDRESS(37,6)))</f>
        <v>3</v>
      </c>
      <c r="H9" s="14" t="s">
        <v>30</v>
      </c>
      <c r="I9" s="16">
        <f ca="1">IF(LEN(INDIRECT(ADDRESS(ROW()-1, COLUMN())))=1,"",INDIRECT(ADDRESS(22,6))-INDIRECT(ADDRESS(22,7)))</f>
        <v>7</v>
      </c>
      <c r="J9" s="16">
        <f ca="1">IF(LEN(INDIRECT(ADDRESS(ROW()-1, COLUMN())))=1,"",INDIRECT(ADDRESS(26,7))-INDIRECT(ADDRESS(26,6)))</f>
        <v>-2</v>
      </c>
      <c r="K9" s="17">
        <f ca="1">IF(LEN(INDIRECT(ADDRESS(ROW()-1, COLUMN())))=1,"",INDIRECT(ADDRESS(40,6))-INDIRECT(ADDRESS(40,7)))</f>
        <v>12</v>
      </c>
      <c r="L9" s="144"/>
      <c r="M9" s="16">
        <f ca="1">IF(COUNT(F9:K9)=0,"",SUM(F9:K9))</f>
        <v>22</v>
      </c>
      <c r="N9" s="89"/>
    </row>
    <row r="10" spans="2:14" ht="24" customHeight="1" x14ac:dyDescent="0.25">
      <c r="B10" s="104">
        <v>4</v>
      </c>
      <c r="C10" s="99" t="s">
        <v>70</v>
      </c>
      <c r="D10" s="100"/>
      <c r="E10" s="101"/>
      <c r="F10" s="12" t="str">
        <f ca="1">INDIRECT(ADDRESS(36,7))&amp;":"&amp;INDIRECT(ADDRESS(36,6))</f>
        <v>3:13</v>
      </c>
      <c r="G10" s="7" t="str">
        <f ca="1">INDIRECT(ADDRESS(41,6))&amp;":"&amp;INDIRECT(ADDRESS(41,7))</f>
        <v>7:13</v>
      </c>
      <c r="H10" s="7" t="str">
        <f ca="1">INDIRECT(ADDRESS(22,7))&amp;":"&amp;INDIRECT(ADDRESS(22,6))</f>
        <v>6:13</v>
      </c>
      <c r="I10" s="8" t="s">
        <v>30</v>
      </c>
      <c r="J10" s="7" t="str">
        <f ca="1">INDIRECT(ADDRESS(32,6))&amp;":"&amp;INDIRECT(ADDRESS(32,7))</f>
        <v>4:13</v>
      </c>
      <c r="K10" s="11" t="str">
        <f ca="1">INDIRECT(ADDRESS(25,7))&amp;":"&amp;INDIRECT(ADDRESS(25,6))</f>
        <v>13:7</v>
      </c>
      <c r="L10" s="144">
        <f ca="1">IF(COUNT(F11:K11)=0,"",COUNTIF(F11:K11,"&gt;0")+0.5*COUNTIF(F11:K11,0))</f>
        <v>1</v>
      </c>
      <c r="M10" s="16"/>
      <c r="N10" s="110">
        <v>5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-10</v>
      </c>
      <c r="G11" s="16">
        <f ca="1">IF(LEN(INDIRECT(ADDRESS(ROW()-1, COLUMN())))=1,"",INDIRECT(ADDRESS(41,6))-INDIRECT(ADDRESS(41,7)))</f>
        <v>-6</v>
      </c>
      <c r="H11" s="16">
        <f ca="1">IF(LEN(INDIRECT(ADDRESS(ROW()-1, COLUMN())))=1,"",INDIRECT(ADDRESS(22,7))-INDIRECT(ADDRESS(22,6)))</f>
        <v>-7</v>
      </c>
      <c r="I11" s="14" t="s">
        <v>30</v>
      </c>
      <c r="J11" s="16">
        <f ca="1">IF(LEN(INDIRECT(ADDRESS(ROW()-1, COLUMN())))=1,"",INDIRECT(ADDRESS(32,6))-INDIRECT(ADDRESS(32,7)))</f>
        <v>-9</v>
      </c>
      <c r="K11" s="17">
        <f ca="1">IF(LEN(INDIRECT(ADDRESS(ROW()-1, COLUMN())))=1,"",INDIRECT(ADDRESS(25,7))-INDIRECT(ADDRESS(25,6)))</f>
        <v>6</v>
      </c>
      <c r="L11" s="144"/>
      <c r="M11" s="16">
        <f ca="1">IF(COUNT(F11:K11)=0,"",SUM(F11:K11))</f>
        <v>-26</v>
      </c>
      <c r="N11" s="89"/>
    </row>
    <row r="12" spans="2:14" ht="24" customHeight="1" x14ac:dyDescent="0.25">
      <c r="B12" s="104">
        <v>5</v>
      </c>
      <c r="C12" s="105" t="s">
        <v>71</v>
      </c>
      <c r="D12" s="106"/>
      <c r="E12" s="107"/>
      <c r="F12" s="12" t="str">
        <f ca="1">INDIRECT(ADDRESS(42,6))&amp;":"&amp;INDIRECT(ADDRESS(42,7))</f>
        <v>13:12</v>
      </c>
      <c r="G12" s="7" t="str">
        <f ca="1">INDIRECT(ADDRESS(21,7))&amp;":"&amp;INDIRECT(ADDRESS(21,6))</f>
        <v>13:8</v>
      </c>
      <c r="H12" s="7" t="str">
        <f ca="1">INDIRECT(ADDRESS(26,6))&amp;":"&amp;INDIRECT(ADDRESS(26,7))</f>
        <v>12:10</v>
      </c>
      <c r="I12" s="7" t="str">
        <f ca="1">INDIRECT(ADDRESS(32,7))&amp;":"&amp;INDIRECT(ADDRESS(32,6))</f>
        <v>13:4</v>
      </c>
      <c r="J12" s="8" t="s">
        <v>30</v>
      </c>
      <c r="K12" s="11" t="str">
        <f ca="1">INDIRECT(ADDRESS(35,7))&amp;":"&amp;INDIRECT(ADDRESS(35,6))</f>
        <v>13:3</v>
      </c>
      <c r="L12" s="144">
        <f ca="1">IF(COUNT(F13:K13)=0,"",COUNTIF(F13:K13,"&gt;0")+0.5*COUNTIF(F13:K13,0))</f>
        <v>5</v>
      </c>
      <c r="M12" s="16"/>
      <c r="N12" s="110">
        <v>1</v>
      </c>
    </row>
    <row r="13" spans="2:14" ht="24" customHeight="1" x14ac:dyDescent="0.25">
      <c r="B13" s="95"/>
      <c r="C13" s="105"/>
      <c r="D13" s="106"/>
      <c r="E13" s="107"/>
      <c r="F13" s="22">
        <f ca="1">IF(LEN(INDIRECT(ADDRESS(ROW()-1, COLUMN())))=1,"",INDIRECT(ADDRESS(42,6))-INDIRECT(ADDRESS(42,7)))</f>
        <v>1</v>
      </c>
      <c r="G13" s="16">
        <f ca="1">IF(LEN(INDIRECT(ADDRESS(ROW()-1, COLUMN())))=1,"",INDIRECT(ADDRESS(21,7))-INDIRECT(ADDRESS(21,6)))</f>
        <v>5</v>
      </c>
      <c r="H13" s="16">
        <f ca="1">IF(LEN(INDIRECT(ADDRESS(ROW()-1, COLUMN())))=1,"",INDIRECT(ADDRESS(26,6))-INDIRECT(ADDRESS(26,7)))</f>
        <v>2</v>
      </c>
      <c r="I13" s="16">
        <f ca="1">IF(LEN(INDIRECT(ADDRESS(ROW()-1, COLUMN())))=1,"",INDIRECT(ADDRESS(32,7))-INDIRECT(ADDRESS(32,6)))</f>
        <v>9</v>
      </c>
      <c r="J13" s="14" t="s">
        <v>30</v>
      </c>
      <c r="K13" s="17">
        <f ca="1">IF(LEN(INDIRECT(ADDRESS(ROW()-1, COLUMN())))=1,"",INDIRECT(ADDRESS(35,7))-INDIRECT(ADDRESS(35,6)))</f>
        <v>10</v>
      </c>
      <c r="L13" s="144"/>
      <c r="M13" s="16">
        <f ca="1">IF(COUNT(F13:K13)=0,"",SUM(F13:K13))</f>
        <v>27</v>
      </c>
      <c r="N13" s="89"/>
    </row>
    <row r="14" spans="2:14" ht="24" customHeight="1" x14ac:dyDescent="0.25">
      <c r="B14" s="104">
        <v>6</v>
      </c>
      <c r="C14" s="99" t="s">
        <v>72</v>
      </c>
      <c r="D14" s="100"/>
      <c r="E14" s="101"/>
      <c r="F14" s="12" t="str">
        <f ca="1">INDIRECT(ADDRESS(20,7))&amp;":"&amp;INDIRECT(ADDRESS(20,6))</f>
        <v>2:13</v>
      </c>
      <c r="G14" s="7" t="str">
        <f ca="1">INDIRECT(ADDRESS(30,7))&amp;":"&amp;INDIRECT(ADDRESS(30,6))</f>
        <v>10:13</v>
      </c>
      <c r="H14" s="7" t="str">
        <f ca="1">INDIRECT(ADDRESS(40,7))&amp;":"&amp;INDIRECT(ADDRESS(40,6))</f>
        <v>1:13</v>
      </c>
      <c r="I14" s="7" t="str">
        <f ca="1">INDIRECT(ADDRESS(25,6))&amp;":"&amp;INDIRECT(ADDRESS(25,7))</f>
        <v>7:13</v>
      </c>
      <c r="J14" s="7" t="str">
        <f ca="1">INDIRECT(ADDRESS(35,6))&amp;":"&amp;INDIRECT(ADDRESS(35,7))</f>
        <v>3:13</v>
      </c>
      <c r="K14" s="50" t="s">
        <v>30</v>
      </c>
      <c r="L14" s="144">
        <f ca="1">IF(COUNT(F15:K15)=0,"",COUNTIF(F15:K15,"&gt;0")+0.5*COUNTIF(F15:K15,0))</f>
        <v>0</v>
      </c>
      <c r="M14" s="16"/>
      <c r="N14" s="110">
        <v>6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-11</v>
      </c>
      <c r="G15" s="18">
        <f ca="1">IF(LEN(INDIRECT(ADDRESS(ROW()-1, COLUMN())))=1,"",INDIRECT(ADDRESS(30,7))-INDIRECT(ADDRESS(30,6)))</f>
        <v>-3</v>
      </c>
      <c r="H15" s="18">
        <f ca="1">IF(LEN(INDIRECT(ADDRESS(ROW()-1, COLUMN())))=1,"",INDIRECT(ADDRESS(40,7))-INDIRECT(ADDRESS(40,6)))</f>
        <v>-12</v>
      </c>
      <c r="I15" s="18">
        <f ca="1">IF(LEN(INDIRECT(ADDRESS(ROW()-1, COLUMN())))=1,"",INDIRECT(ADDRESS(25,6))-INDIRECT(ADDRESS(25,7)))</f>
        <v>-6</v>
      </c>
      <c r="J15" s="18">
        <f ca="1">IF(LEN(INDIRECT(ADDRESS(ROW()-1, COLUMN())))=1,"",INDIRECT(ADDRESS(35,6))-INDIRECT(ADDRESS(35,7)))</f>
        <v>-10</v>
      </c>
      <c r="K15" s="15" t="s">
        <v>30</v>
      </c>
      <c r="L15" s="145"/>
      <c r="M15" s="18">
        <f ca="1">IF(COUNT(F15:K15)=0,"",SUM(F15:K15))</f>
        <v>-42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Лукин Сергей</v>
      </c>
      <c r="D20" s="141"/>
      <c r="E20" s="142"/>
      <c r="F20" s="54">
        <v>13</v>
      </c>
      <c r="G20" s="55">
        <v>2</v>
      </c>
      <c r="H20" s="143" t="str">
        <f ca="1">IF(ISBLANK(INDIRECT(ADDRESS(K20*2+2,3))),"",INDIRECT(ADDRESS(K20*2+2,3)))</f>
        <v xml:space="preserve">Дмитриев Геннадий </v>
      </c>
      <c r="I20" s="141"/>
      <c r="J20" s="141"/>
      <c r="K20" s="53">
        <v>6</v>
      </c>
      <c r="L20" s="56" t="s">
        <v>10</v>
      </c>
      <c r="M20" s="60"/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Чугунов Андрей</v>
      </c>
      <c r="D21" s="141"/>
      <c r="E21" s="142"/>
      <c r="F21" s="54">
        <v>8</v>
      </c>
      <c r="G21" s="55">
        <v>13</v>
      </c>
      <c r="H21" s="143" t="str">
        <f ca="1">IF(ISBLANK(INDIRECT(ADDRESS(K21*2+2,3))),"",INDIRECT(ADDRESS(K21*2+2,3)))</f>
        <v>Изместьев Алексей</v>
      </c>
      <c r="I21" s="141"/>
      <c r="J21" s="141"/>
      <c r="K21" s="53">
        <v>5</v>
      </c>
      <c r="L21" s="56" t="s">
        <v>10</v>
      </c>
      <c r="M21" s="60"/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Коржов Владимир</v>
      </c>
      <c r="D22" s="141"/>
      <c r="E22" s="142"/>
      <c r="F22" s="54">
        <v>13</v>
      </c>
      <c r="G22" s="55">
        <v>6</v>
      </c>
      <c r="H22" s="143" t="str">
        <f ca="1">IF(ISBLANK(INDIRECT(ADDRESS(K22*2+2,3))),"",INDIRECT(ADDRESS(K22*2+2,3)))</f>
        <v>Грейцер Роман</v>
      </c>
      <c r="I22" s="141"/>
      <c r="J22" s="141"/>
      <c r="K22" s="53">
        <v>4</v>
      </c>
      <c r="L22" s="56" t="s">
        <v>10</v>
      </c>
      <c r="M22" s="60"/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 xml:space="preserve">Дмитриев Геннадий </v>
      </c>
      <c r="D25" s="141"/>
      <c r="E25" s="142"/>
      <c r="F25" s="54">
        <v>7</v>
      </c>
      <c r="G25" s="55">
        <v>13</v>
      </c>
      <c r="H25" s="143" t="str">
        <f ca="1">IF(ISBLANK(INDIRECT(ADDRESS(K25*2+2,3))),"",INDIRECT(ADDRESS(K25*2+2,3)))</f>
        <v>Грейцер Роман</v>
      </c>
      <c r="I25" s="141"/>
      <c r="J25" s="141"/>
      <c r="K25" s="53">
        <v>4</v>
      </c>
      <c r="L25" s="56" t="s">
        <v>10</v>
      </c>
      <c r="M25" s="60"/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Изместьев Алексей</v>
      </c>
      <c r="D26" s="141"/>
      <c r="E26" s="142"/>
      <c r="F26" s="54">
        <v>12</v>
      </c>
      <c r="G26" s="55">
        <v>10</v>
      </c>
      <c r="H26" s="143" t="str">
        <f ca="1">IF(ISBLANK(INDIRECT(ADDRESS(K26*2+2,3))),"",INDIRECT(ADDRESS(K26*2+2,3)))</f>
        <v>Коржов Владимир</v>
      </c>
      <c r="I26" s="141"/>
      <c r="J26" s="141"/>
      <c r="K26" s="53">
        <v>3</v>
      </c>
      <c r="L26" s="56" t="s">
        <v>10</v>
      </c>
      <c r="M26" s="60"/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Лукин Сергей</v>
      </c>
      <c r="D27" s="141"/>
      <c r="E27" s="142"/>
      <c r="F27" s="54">
        <v>13</v>
      </c>
      <c r="G27" s="55">
        <v>9</v>
      </c>
      <c r="H27" s="143" t="str">
        <f ca="1">IF(ISBLANK(INDIRECT(ADDRESS(K27*2+2,3))),"",INDIRECT(ADDRESS(K27*2+2,3)))</f>
        <v>Чугунов Андрей</v>
      </c>
      <c r="I27" s="141"/>
      <c r="J27" s="141"/>
      <c r="K27" s="53">
        <v>2</v>
      </c>
      <c r="L27" s="56" t="s">
        <v>10</v>
      </c>
      <c r="M27" s="60"/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Чугунов Андрей</v>
      </c>
      <c r="D30" s="141"/>
      <c r="E30" s="142"/>
      <c r="F30" s="54">
        <v>13</v>
      </c>
      <c r="G30" s="55">
        <v>10</v>
      </c>
      <c r="H30" s="143" t="str">
        <f ca="1">IF(ISBLANK(INDIRECT(ADDRESS(K30*2+2,3))),"",INDIRECT(ADDRESS(K30*2+2,3)))</f>
        <v xml:space="preserve">Дмитриев Геннадий </v>
      </c>
      <c r="I30" s="141"/>
      <c r="J30" s="141"/>
      <c r="K30" s="53">
        <v>6</v>
      </c>
      <c r="L30" s="56" t="s">
        <v>10</v>
      </c>
      <c r="M30" s="60"/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Коржов Владимир</v>
      </c>
      <c r="D31" s="141"/>
      <c r="E31" s="142"/>
      <c r="F31" s="54">
        <v>11</v>
      </c>
      <c r="G31" s="55">
        <v>9</v>
      </c>
      <c r="H31" s="143" t="str">
        <f ca="1">IF(ISBLANK(INDIRECT(ADDRESS(K31*2+2,3))),"",INDIRECT(ADDRESS(K31*2+2,3)))</f>
        <v>Лукин Сергей</v>
      </c>
      <c r="I31" s="141"/>
      <c r="J31" s="141"/>
      <c r="K31" s="53">
        <v>1</v>
      </c>
      <c r="L31" s="56" t="s">
        <v>10</v>
      </c>
      <c r="M31" s="60"/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Грейцер Роман</v>
      </c>
      <c r="D32" s="141"/>
      <c r="E32" s="142"/>
      <c r="F32" s="54">
        <v>4</v>
      </c>
      <c r="G32" s="55">
        <v>13</v>
      </c>
      <c r="H32" s="143" t="str">
        <f ca="1">IF(ISBLANK(INDIRECT(ADDRESS(K32*2+2,3))),"",INDIRECT(ADDRESS(K32*2+2,3)))</f>
        <v>Изместьев Алексей</v>
      </c>
      <c r="I32" s="141"/>
      <c r="J32" s="141"/>
      <c r="K32" s="53">
        <v>5</v>
      </c>
      <c r="L32" s="56" t="s">
        <v>10</v>
      </c>
      <c r="M32" s="60"/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 xml:space="preserve">Дмитриев Геннадий </v>
      </c>
      <c r="D35" s="141"/>
      <c r="E35" s="142"/>
      <c r="F35" s="54">
        <v>3</v>
      </c>
      <c r="G35" s="55">
        <v>13</v>
      </c>
      <c r="H35" s="143" t="str">
        <f ca="1">IF(ISBLANK(INDIRECT(ADDRESS(K35*2+2,3))),"",INDIRECT(ADDRESS(K35*2+2,3)))</f>
        <v>Изместьев Алексей</v>
      </c>
      <c r="I35" s="141"/>
      <c r="J35" s="141"/>
      <c r="K35" s="53">
        <v>5</v>
      </c>
      <c r="L35" s="56" t="s">
        <v>10</v>
      </c>
      <c r="M35" s="60"/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Лукин Сергей</v>
      </c>
      <c r="D36" s="141"/>
      <c r="E36" s="142"/>
      <c r="F36" s="54">
        <v>13</v>
      </c>
      <c r="G36" s="55">
        <v>3</v>
      </c>
      <c r="H36" s="143" t="str">
        <f ca="1">IF(ISBLANK(INDIRECT(ADDRESS(K36*2+2,3))),"",INDIRECT(ADDRESS(K36*2+2,3)))</f>
        <v>Грейцер Роман</v>
      </c>
      <c r="I36" s="141"/>
      <c r="J36" s="141"/>
      <c r="K36" s="53">
        <v>4</v>
      </c>
      <c r="L36" s="56" t="s">
        <v>10</v>
      </c>
      <c r="M36" s="60"/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Чугунов Андрей</v>
      </c>
      <c r="D37" s="141"/>
      <c r="E37" s="142"/>
      <c r="F37" s="54">
        <v>10</v>
      </c>
      <c r="G37" s="55">
        <v>13</v>
      </c>
      <c r="H37" s="143" t="str">
        <f ca="1">IF(ISBLANK(INDIRECT(ADDRESS(K37*2+2,3))),"",INDIRECT(ADDRESS(K37*2+2,3)))</f>
        <v>Коржов Владимир</v>
      </c>
      <c r="I37" s="141"/>
      <c r="J37" s="141"/>
      <c r="K37" s="53">
        <v>3</v>
      </c>
      <c r="L37" s="56" t="s">
        <v>10</v>
      </c>
      <c r="M37" s="60"/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Коржов Владимир</v>
      </c>
      <c r="D40" s="141"/>
      <c r="E40" s="142"/>
      <c r="F40" s="54">
        <v>13</v>
      </c>
      <c r="G40" s="55">
        <v>1</v>
      </c>
      <c r="H40" s="143" t="str">
        <f ca="1">IF(ISBLANK(INDIRECT(ADDRESS(K40*2+2,3))),"",INDIRECT(ADDRESS(K40*2+2,3)))</f>
        <v xml:space="preserve">Дмитриев Геннадий </v>
      </c>
      <c r="I40" s="141"/>
      <c r="J40" s="141"/>
      <c r="K40" s="53">
        <v>6</v>
      </c>
      <c r="L40" s="56" t="s">
        <v>10</v>
      </c>
      <c r="M40" s="60"/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Грейцер Роман</v>
      </c>
      <c r="D41" s="141"/>
      <c r="E41" s="142"/>
      <c r="F41" s="54">
        <v>7</v>
      </c>
      <c r="G41" s="55">
        <v>13</v>
      </c>
      <c r="H41" s="143" t="str">
        <f ca="1">IF(ISBLANK(INDIRECT(ADDRESS(K41*2+2,3))),"",INDIRECT(ADDRESS(K41*2+2,3)))</f>
        <v>Чугунов Андрей</v>
      </c>
      <c r="I41" s="141"/>
      <c r="J41" s="141"/>
      <c r="K41" s="53">
        <v>2</v>
      </c>
      <c r="L41" s="56" t="s">
        <v>10</v>
      </c>
      <c r="M41" s="60"/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Изместьев Алексей</v>
      </c>
      <c r="D42" s="141"/>
      <c r="E42" s="142"/>
      <c r="F42" s="54">
        <v>13</v>
      </c>
      <c r="G42" s="55">
        <v>12</v>
      </c>
      <c r="H42" s="143" t="str">
        <f ca="1">IF(ISBLANK(INDIRECT(ADDRESS(K42*2+2,3))),"",INDIRECT(ADDRESS(K42*2+2,3)))</f>
        <v>Лукин Сергей</v>
      </c>
      <c r="I42" s="141"/>
      <c r="J42" s="141"/>
      <c r="K42" s="53">
        <v>1</v>
      </c>
      <c r="L42" s="56" t="s">
        <v>10</v>
      </c>
      <c r="M42" s="60"/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98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45676</v>
      </c>
    </row>
    <row r="2" spans="2:14" ht="15.75" thickBot="1" x14ac:dyDescent="0.3">
      <c r="M2"/>
    </row>
    <row r="3" spans="2:14" ht="30" customHeight="1" thickBot="1" x14ac:dyDescent="0.3">
      <c r="B3" s="62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96" t="s">
        <v>92</v>
      </c>
      <c r="D4" s="97"/>
      <c r="E4" s="98"/>
      <c r="F4" s="10" t="s">
        <v>30</v>
      </c>
      <c r="G4" s="6" t="str">
        <f ca="1">INDIRECT(ADDRESS(27,6))&amp;":"&amp;INDIRECT(ADDRESS(27,7))</f>
        <v>7:13</v>
      </c>
      <c r="H4" s="6" t="str">
        <f ca="1">INDIRECT(ADDRESS(31,7))&amp;":"&amp;INDIRECT(ADDRESS(31,6))</f>
        <v>8:13</v>
      </c>
      <c r="I4" s="6" t="str">
        <f ca="1">INDIRECT(ADDRESS(36,6))&amp;":"&amp;INDIRECT(ADDRESS(36,7))</f>
        <v>6:13</v>
      </c>
      <c r="J4" s="6" t="str">
        <f ca="1">INDIRECT(ADDRESS(42,7))&amp;":"&amp;INDIRECT(ADDRESS(42,6))</f>
        <v>13:7</v>
      </c>
      <c r="K4" s="20" t="str">
        <f ca="1">INDIRECT(ADDRESS(20,6))&amp;":"&amp;INDIRECT(ADDRESS(20,7))</f>
        <v>1:13</v>
      </c>
      <c r="L4" s="151">
        <f ca="1">IF(COUNT(F5:K5)=0,"",COUNTIF(F5:K5,"&gt;0")+0.5*COUNTIF(F5:K5,0))</f>
        <v>1</v>
      </c>
      <c r="M4" s="23"/>
      <c r="N4" s="88">
        <v>5</v>
      </c>
    </row>
    <row r="5" spans="2:14" ht="24" customHeight="1" x14ac:dyDescent="0.25">
      <c r="B5" s="95"/>
      <c r="C5" s="99"/>
      <c r="D5" s="100"/>
      <c r="E5" s="101"/>
      <c r="F5" s="13" t="s">
        <v>30</v>
      </c>
      <c r="G5" s="16">
        <f ca="1">IF(LEN(INDIRECT(ADDRESS(ROW()-1, COLUMN())))=1,"",INDIRECT(ADDRESS(27,6))-INDIRECT(ADDRESS(27,7)))</f>
        <v>-6</v>
      </c>
      <c r="H5" s="16">
        <f ca="1">IF(LEN(INDIRECT(ADDRESS(ROW()-1, COLUMN())))=1,"",INDIRECT(ADDRESS(31,7))-INDIRECT(ADDRESS(31,6)))</f>
        <v>-5</v>
      </c>
      <c r="I5" s="16">
        <f ca="1">IF(LEN(INDIRECT(ADDRESS(ROW()-1, COLUMN())))=1,"",INDIRECT(ADDRESS(36,6))-INDIRECT(ADDRESS(36,7)))</f>
        <v>-7</v>
      </c>
      <c r="J5" s="16">
        <f ca="1">IF(LEN(INDIRECT(ADDRESS(ROW()-1, COLUMN())))=1,"",INDIRECT(ADDRESS(42,7))-INDIRECT(ADDRESS(42,6)))</f>
        <v>6</v>
      </c>
      <c r="K5" s="17">
        <f ca="1">IF(LEN(INDIRECT(ADDRESS(ROW()-1, COLUMN())))=1,"",INDIRECT(ADDRESS(20,6))-INDIRECT(ADDRESS(20,7)))</f>
        <v>-12</v>
      </c>
      <c r="L5" s="144"/>
      <c r="M5" s="16">
        <f ca="1">IF(COUNT(F5:K5)=0,"",SUM(F5:K5))</f>
        <v>-24</v>
      </c>
      <c r="N5" s="89"/>
    </row>
    <row r="6" spans="2:14" ht="24" customHeight="1" x14ac:dyDescent="0.25">
      <c r="B6" s="104">
        <v>2</v>
      </c>
      <c r="C6" s="105" t="s">
        <v>93</v>
      </c>
      <c r="D6" s="106"/>
      <c r="E6" s="107"/>
      <c r="F6" s="12" t="str">
        <f ca="1">INDIRECT(ADDRESS(27,7))&amp;":"&amp;INDIRECT(ADDRESS(27,6))</f>
        <v>13:7</v>
      </c>
      <c r="G6" s="8" t="s">
        <v>30</v>
      </c>
      <c r="H6" s="7" t="str">
        <f ca="1">INDIRECT(ADDRESS(37,6))&amp;":"&amp;INDIRECT(ADDRESS(37,7))</f>
        <v>11:13</v>
      </c>
      <c r="I6" s="7" t="str">
        <f ca="1">INDIRECT(ADDRESS(41,7))&amp;":"&amp;INDIRECT(ADDRESS(41,6))</f>
        <v>13:5</v>
      </c>
      <c r="J6" s="7" t="str">
        <f ca="1">INDIRECT(ADDRESS(21,6))&amp;":"&amp;INDIRECT(ADDRESS(21,7))</f>
        <v>13:10</v>
      </c>
      <c r="K6" s="11" t="str">
        <f ca="1">INDIRECT(ADDRESS(30,6))&amp;":"&amp;INDIRECT(ADDRESS(30,7))</f>
        <v>13:6</v>
      </c>
      <c r="L6" s="144">
        <f ca="1">IF(COUNT(F7:K7)=0,"",COUNTIF(F7:K7,"&gt;0")+0.5*COUNTIF(F7:K7,0))</f>
        <v>4</v>
      </c>
      <c r="M6" s="16"/>
      <c r="N6" s="110">
        <v>1</v>
      </c>
    </row>
    <row r="7" spans="2:14" ht="24" customHeight="1" x14ac:dyDescent="0.25">
      <c r="B7" s="95"/>
      <c r="C7" s="105"/>
      <c r="D7" s="106"/>
      <c r="E7" s="107"/>
      <c r="F7" s="22">
        <f ca="1">IF(LEN(INDIRECT(ADDRESS(ROW()-1, COLUMN())))=1,"",INDIRECT(ADDRESS(27,7))-INDIRECT(ADDRESS(27,6)))</f>
        <v>6</v>
      </c>
      <c r="G7" s="14" t="s">
        <v>30</v>
      </c>
      <c r="H7" s="16">
        <f ca="1">IF(LEN(INDIRECT(ADDRESS(ROW()-1, COLUMN())))=1,"",INDIRECT(ADDRESS(37,6))-INDIRECT(ADDRESS(37,7)))</f>
        <v>-2</v>
      </c>
      <c r="I7" s="16">
        <f ca="1">IF(LEN(INDIRECT(ADDRESS(ROW()-1, COLUMN())))=1,"",INDIRECT(ADDRESS(41,7))-INDIRECT(ADDRESS(41,6)))</f>
        <v>8</v>
      </c>
      <c r="J7" s="16">
        <f ca="1">IF(LEN(INDIRECT(ADDRESS(ROW()-1, COLUMN())))=1,"",INDIRECT(ADDRESS(21,6))-INDIRECT(ADDRESS(21,7)))</f>
        <v>3</v>
      </c>
      <c r="K7" s="17">
        <f ca="1">IF(LEN(INDIRECT(ADDRESS(ROW()-1, COLUMN())))=1,"",INDIRECT(ADDRESS(30,6))-INDIRECT(ADDRESS(30,7)))</f>
        <v>7</v>
      </c>
      <c r="L7" s="144"/>
      <c r="M7" s="16">
        <f ca="1">IF(COUNT(F7:K7)=0,"",SUM(F7:K7))</f>
        <v>22</v>
      </c>
      <c r="N7" s="89"/>
    </row>
    <row r="8" spans="2:14" ht="24" customHeight="1" x14ac:dyDescent="0.25">
      <c r="B8" s="104">
        <v>3</v>
      </c>
      <c r="C8" s="126" t="s">
        <v>94</v>
      </c>
      <c r="D8" s="127"/>
      <c r="E8" s="128"/>
      <c r="F8" s="12" t="str">
        <f ca="1">INDIRECT(ADDRESS(31,6))&amp;":"&amp;INDIRECT(ADDRESS(31,7))</f>
        <v>13:8</v>
      </c>
      <c r="G8" s="7" t="str">
        <f ca="1">INDIRECT(ADDRESS(37,7))&amp;":"&amp;INDIRECT(ADDRESS(37,6))</f>
        <v>13:11</v>
      </c>
      <c r="H8" s="8" t="s">
        <v>30</v>
      </c>
      <c r="I8" s="7" t="str">
        <f ca="1">INDIRECT(ADDRESS(22,6))&amp;":"&amp;INDIRECT(ADDRESS(22,7))</f>
        <v>13:7</v>
      </c>
      <c r="J8" s="7" t="str">
        <f ca="1">INDIRECT(ADDRESS(26,7))&amp;":"&amp;INDIRECT(ADDRESS(26,6))</f>
        <v>1:13</v>
      </c>
      <c r="K8" s="11" t="str">
        <f ca="1">INDIRECT(ADDRESS(40,6))&amp;":"&amp;INDIRECT(ADDRESS(40,7))</f>
        <v>11:13</v>
      </c>
      <c r="L8" s="144">
        <f ca="1">IF(COUNT(F9:K9)=0,"",COUNTIF(F9:K9,"&gt;0")+0.5*COUNTIF(F9:K9,0))</f>
        <v>3</v>
      </c>
      <c r="M8" s="16">
        <v>4</v>
      </c>
      <c r="N8" s="110">
        <v>3</v>
      </c>
    </row>
    <row r="9" spans="2:14" ht="24" customHeight="1" x14ac:dyDescent="0.25">
      <c r="B9" s="95"/>
      <c r="C9" s="126"/>
      <c r="D9" s="127"/>
      <c r="E9" s="128"/>
      <c r="F9" s="22">
        <f ca="1">IF(LEN(INDIRECT(ADDRESS(ROW()-1, COLUMN())))=1,"",INDIRECT(ADDRESS(31,6))-INDIRECT(ADDRESS(31,7)))</f>
        <v>5</v>
      </c>
      <c r="G9" s="16">
        <f ca="1">IF(LEN(INDIRECT(ADDRESS(ROW()-1, COLUMN())))=1,"",INDIRECT(ADDRESS(37,7))-INDIRECT(ADDRESS(37,6)))</f>
        <v>2</v>
      </c>
      <c r="H9" s="14" t="s">
        <v>30</v>
      </c>
      <c r="I9" s="16">
        <f ca="1">IF(LEN(INDIRECT(ADDRESS(ROW()-1, COLUMN())))=1,"",INDIRECT(ADDRESS(22,6))-INDIRECT(ADDRESS(22,7)))</f>
        <v>6</v>
      </c>
      <c r="J9" s="16">
        <f ca="1">IF(LEN(INDIRECT(ADDRESS(ROW()-1, COLUMN())))=1,"",INDIRECT(ADDRESS(26,7))-INDIRECT(ADDRESS(26,6)))</f>
        <v>-12</v>
      </c>
      <c r="K9" s="17">
        <f ca="1">IF(LEN(INDIRECT(ADDRESS(ROW()-1, COLUMN())))=1,"",INDIRECT(ADDRESS(40,6))-INDIRECT(ADDRESS(40,7)))</f>
        <v>-2</v>
      </c>
      <c r="L9" s="144"/>
      <c r="M9" s="16">
        <f ca="1">IF(COUNT(F9:K9)=0,"",SUM(F9:K9))</f>
        <v>-1</v>
      </c>
      <c r="N9" s="89"/>
    </row>
    <row r="10" spans="2:14" ht="24" customHeight="1" x14ac:dyDescent="0.25">
      <c r="B10" s="104">
        <v>4</v>
      </c>
      <c r="C10" s="105" t="s">
        <v>95</v>
      </c>
      <c r="D10" s="106"/>
      <c r="E10" s="107"/>
      <c r="F10" s="12" t="str">
        <f ca="1">INDIRECT(ADDRESS(36,7))&amp;":"&amp;INDIRECT(ADDRESS(36,6))</f>
        <v>13:6</v>
      </c>
      <c r="G10" s="7" t="str">
        <f ca="1">INDIRECT(ADDRESS(41,6))&amp;":"&amp;INDIRECT(ADDRESS(41,7))</f>
        <v>5:13</v>
      </c>
      <c r="H10" s="7" t="str">
        <f ca="1">INDIRECT(ADDRESS(22,7))&amp;":"&amp;INDIRECT(ADDRESS(22,6))</f>
        <v>7:13</v>
      </c>
      <c r="I10" s="8" t="s">
        <v>30</v>
      </c>
      <c r="J10" s="7" t="str">
        <f ca="1">INDIRECT(ADDRESS(32,6))&amp;":"&amp;INDIRECT(ADDRESS(32,7))</f>
        <v>13:11</v>
      </c>
      <c r="K10" s="11" t="str">
        <f ca="1">INDIRECT(ADDRESS(25,7))&amp;":"&amp;INDIRECT(ADDRESS(25,6))</f>
        <v>13:0</v>
      </c>
      <c r="L10" s="144">
        <f ca="1">IF(COUNT(F11:K11)=0,"",COUNTIF(F11:K11,"&gt;0")+0.5*COUNTIF(F11:K11,0))</f>
        <v>3</v>
      </c>
      <c r="M10" s="16">
        <v>7</v>
      </c>
      <c r="N10" s="110">
        <v>2</v>
      </c>
    </row>
    <row r="11" spans="2:14" ht="24" customHeight="1" x14ac:dyDescent="0.25">
      <c r="B11" s="95"/>
      <c r="C11" s="105"/>
      <c r="D11" s="106"/>
      <c r="E11" s="107"/>
      <c r="F11" s="22">
        <f ca="1">IF(LEN(INDIRECT(ADDRESS(ROW()-1, COLUMN())))=1,"",INDIRECT(ADDRESS(36,7))-INDIRECT(ADDRESS(36,6)))</f>
        <v>7</v>
      </c>
      <c r="G11" s="16">
        <f ca="1">IF(LEN(INDIRECT(ADDRESS(ROW()-1, COLUMN())))=1,"",INDIRECT(ADDRESS(41,6))-INDIRECT(ADDRESS(41,7)))</f>
        <v>-8</v>
      </c>
      <c r="H11" s="16">
        <f ca="1">IF(LEN(INDIRECT(ADDRESS(ROW()-1, COLUMN())))=1,"",INDIRECT(ADDRESS(22,7))-INDIRECT(ADDRESS(22,6)))</f>
        <v>-6</v>
      </c>
      <c r="I11" s="14" t="s">
        <v>30</v>
      </c>
      <c r="J11" s="16">
        <f ca="1">IF(LEN(INDIRECT(ADDRESS(ROW()-1, COLUMN())))=1,"",INDIRECT(ADDRESS(32,6))-INDIRECT(ADDRESS(32,7)))</f>
        <v>2</v>
      </c>
      <c r="K11" s="17">
        <f ca="1">IF(LEN(INDIRECT(ADDRESS(ROW()-1, COLUMN())))=1,"",INDIRECT(ADDRESS(25,7))-INDIRECT(ADDRESS(25,6)))</f>
        <v>13</v>
      </c>
      <c r="L11" s="144"/>
      <c r="M11" s="16">
        <f ca="1">IF(COUNT(F11:K11)=0,"",SUM(F11:K11))</f>
        <v>8</v>
      </c>
      <c r="N11" s="89"/>
    </row>
    <row r="12" spans="2:14" ht="24" customHeight="1" x14ac:dyDescent="0.25">
      <c r="B12" s="104">
        <v>5</v>
      </c>
      <c r="C12" s="99" t="s">
        <v>96</v>
      </c>
      <c r="D12" s="100"/>
      <c r="E12" s="101"/>
      <c r="F12" s="12" t="str">
        <f ca="1">INDIRECT(ADDRESS(42,6))&amp;":"&amp;INDIRECT(ADDRESS(42,7))</f>
        <v>7:13</v>
      </c>
      <c r="G12" s="7" t="str">
        <f ca="1">INDIRECT(ADDRESS(21,7))&amp;":"&amp;INDIRECT(ADDRESS(21,6))</f>
        <v>10:13</v>
      </c>
      <c r="H12" s="7" t="str">
        <f ca="1">INDIRECT(ADDRESS(26,6))&amp;":"&amp;INDIRECT(ADDRESS(26,7))</f>
        <v>13:1</v>
      </c>
      <c r="I12" s="7" t="str">
        <f ca="1">INDIRECT(ADDRESS(32,7))&amp;":"&amp;INDIRECT(ADDRESS(32,6))</f>
        <v>11:13</v>
      </c>
      <c r="J12" s="8" t="s">
        <v>30</v>
      </c>
      <c r="K12" s="11" t="str">
        <f ca="1">INDIRECT(ADDRESS(35,7))&amp;":"&amp;INDIRECT(ADDRESS(35,6))</f>
        <v>11:13</v>
      </c>
      <c r="L12" s="144">
        <f ca="1">IF(COUNT(F13:K13)=0,"",COUNTIF(F13:K13,"&gt;0")+0.5*COUNTIF(F13:K13,0))</f>
        <v>1</v>
      </c>
      <c r="M12" s="16"/>
      <c r="N12" s="110">
        <v>6</v>
      </c>
    </row>
    <row r="13" spans="2:14" ht="24" customHeight="1" x14ac:dyDescent="0.25">
      <c r="B13" s="95"/>
      <c r="C13" s="99"/>
      <c r="D13" s="100"/>
      <c r="E13" s="101"/>
      <c r="F13" s="22">
        <f ca="1">IF(LEN(INDIRECT(ADDRESS(ROW()-1, COLUMN())))=1,"",INDIRECT(ADDRESS(42,6))-INDIRECT(ADDRESS(42,7)))</f>
        <v>-6</v>
      </c>
      <c r="G13" s="16">
        <f ca="1">IF(LEN(INDIRECT(ADDRESS(ROW()-1, COLUMN())))=1,"",INDIRECT(ADDRESS(21,7))-INDIRECT(ADDRESS(21,6)))</f>
        <v>-3</v>
      </c>
      <c r="H13" s="16">
        <f ca="1">IF(LEN(INDIRECT(ADDRESS(ROW()-1, COLUMN())))=1,"",INDIRECT(ADDRESS(26,6))-INDIRECT(ADDRESS(26,7)))</f>
        <v>12</v>
      </c>
      <c r="I13" s="16">
        <f ca="1">IF(LEN(INDIRECT(ADDRESS(ROW()-1, COLUMN())))=1,"",INDIRECT(ADDRESS(32,7))-INDIRECT(ADDRESS(32,6)))</f>
        <v>-2</v>
      </c>
      <c r="J13" s="14" t="s">
        <v>30</v>
      </c>
      <c r="K13" s="17">
        <f ca="1">IF(LEN(INDIRECT(ADDRESS(ROW()-1, COLUMN())))=1,"",INDIRECT(ADDRESS(35,7))-INDIRECT(ADDRESS(35,6)))</f>
        <v>-2</v>
      </c>
      <c r="L13" s="144"/>
      <c r="M13" s="16">
        <f ca="1">IF(COUNT(F13:K13)=0,"",SUM(F13:K13))</f>
        <v>-1</v>
      </c>
      <c r="N13" s="89"/>
    </row>
    <row r="14" spans="2:14" ht="24" customHeight="1" x14ac:dyDescent="0.25">
      <c r="B14" s="104">
        <v>6</v>
      </c>
      <c r="C14" s="99" t="s">
        <v>97</v>
      </c>
      <c r="D14" s="100"/>
      <c r="E14" s="101"/>
      <c r="F14" s="12" t="str">
        <f ca="1">INDIRECT(ADDRESS(20,7))&amp;":"&amp;INDIRECT(ADDRESS(20,6))</f>
        <v>13:1</v>
      </c>
      <c r="G14" s="7" t="str">
        <f ca="1">INDIRECT(ADDRESS(30,7))&amp;":"&amp;INDIRECT(ADDRESS(30,6))</f>
        <v>6:13</v>
      </c>
      <c r="H14" s="7" t="str">
        <f ca="1">INDIRECT(ADDRESS(40,7))&amp;":"&amp;INDIRECT(ADDRESS(40,6))</f>
        <v>13:11</v>
      </c>
      <c r="I14" s="7" t="str">
        <f ca="1">INDIRECT(ADDRESS(25,6))&amp;":"&amp;INDIRECT(ADDRESS(25,7))</f>
        <v>0:13</v>
      </c>
      <c r="J14" s="7" t="str">
        <f ca="1">INDIRECT(ADDRESS(35,6))&amp;":"&amp;INDIRECT(ADDRESS(35,7))</f>
        <v>13:11</v>
      </c>
      <c r="K14" s="50" t="s">
        <v>30</v>
      </c>
      <c r="L14" s="144">
        <f ca="1">IF(COUNT(F15:K15)=0,"",COUNTIF(F15:K15,"&gt;0")+0.5*COUNTIF(F15:K15,0))</f>
        <v>3</v>
      </c>
      <c r="M14" s="16">
        <v>-11</v>
      </c>
      <c r="N14" s="110">
        <v>4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12</v>
      </c>
      <c r="G15" s="18">
        <f ca="1">IF(LEN(INDIRECT(ADDRESS(ROW()-1, COLUMN())))=1,"",INDIRECT(ADDRESS(30,7))-INDIRECT(ADDRESS(30,6)))</f>
        <v>-7</v>
      </c>
      <c r="H15" s="18">
        <f ca="1">IF(LEN(INDIRECT(ADDRESS(ROW()-1, COLUMN())))=1,"",INDIRECT(ADDRESS(40,7))-INDIRECT(ADDRESS(40,6)))</f>
        <v>2</v>
      </c>
      <c r="I15" s="18">
        <f ca="1">IF(LEN(INDIRECT(ADDRESS(ROW()-1, COLUMN())))=1,"",INDIRECT(ADDRESS(25,6))-INDIRECT(ADDRESS(25,7)))</f>
        <v>-13</v>
      </c>
      <c r="J15" s="18">
        <f ca="1">IF(LEN(INDIRECT(ADDRESS(ROW()-1, COLUMN())))=1,"",INDIRECT(ADDRESS(35,6))-INDIRECT(ADDRESS(35,7)))</f>
        <v>2</v>
      </c>
      <c r="K15" s="15" t="s">
        <v>30</v>
      </c>
      <c r="L15" s="145"/>
      <c r="M15" s="18">
        <f ca="1">IF(COUNT(F15:K15)=0,"",SUM(F15:K15))</f>
        <v>-4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Шихарбеев Борис</v>
      </c>
      <c r="D20" s="141"/>
      <c r="E20" s="142"/>
      <c r="F20" s="54">
        <v>1</v>
      </c>
      <c r="G20" s="55">
        <v>13</v>
      </c>
      <c r="H20" s="143" t="str">
        <f ca="1">IF(ISBLANK(INDIRECT(ADDRESS(K20*2+2,3))),"",INDIRECT(ADDRESS(K20*2+2,3)))</f>
        <v>Стрельчук Дмитрий</v>
      </c>
      <c r="I20" s="141"/>
      <c r="J20" s="141"/>
      <c r="K20" s="53">
        <v>6</v>
      </c>
      <c r="L20" s="56" t="s">
        <v>10</v>
      </c>
      <c r="M20" s="61"/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Гришков Сергей</v>
      </c>
      <c r="D21" s="141"/>
      <c r="E21" s="142"/>
      <c r="F21" s="54">
        <v>13</v>
      </c>
      <c r="G21" s="55">
        <v>10</v>
      </c>
      <c r="H21" s="143" t="str">
        <f ca="1">IF(ISBLANK(INDIRECT(ADDRESS(K21*2+2,3))),"",INDIRECT(ADDRESS(K21*2+2,3)))</f>
        <v>Смирнов Сергей</v>
      </c>
      <c r="I21" s="141"/>
      <c r="J21" s="141"/>
      <c r="K21" s="53">
        <v>5</v>
      </c>
      <c r="L21" s="56" t="s">
        <v>10</v>
      </c>
      <c r="M21" s="61"/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Стрельчук Артем</v>
      </c>
      <c r="D22" s="141"/>
      <c r="E22" s="142"/>
      <c r="F22" s="54">
        <v>13</v>
      </c>
      <c r="G22" s="55">
        <v>7</v>
      </c>
      <c r="H22" s="143" t="str">
        <f ca="1">IF(ISBLANK(INDIRECT(ADDRESS(K22*2+2,3))),"",INDIRECT(ADDRESS(K22*2+2,3)))</f>
        <v>Догадин Евгений</v>
      </c>
      <c r="I22" s="141"/>
      <c r="J22" s="141"/>
      <c r="K22" s="53">
        <v>4</v>
      </c>
      <c r="L22" s="56" t="s">
        <v>10</v>
      </c>
      <c r="M22" s="61"/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Стрельчук Дмитрий</v>
      </c>
      <c r="D25" s="141"/>
      <c r="E25" s="142"/>
      <c r="F25" s="54">
        <v>0</v>
      </c>
      <c r="G25" s="55">
        <v>13</v>
      </c>
      <c r="H25" s="143" t="str">
        <f ca="1">IF(ISBLANK(INDIRECT(ADDRESS(K25*2+2,3))),"",INDIRECT(ADDRESS(K25*2+2,3)))</f>
        <v>Догадин Евгений</v>
      </c>
      <c r="I25" s="141"/>
      <c r="J25" s="141"/>
      <c r="K25" s="53">
        <v>4</v>
      </c>
      <c r="L25" s="56" t="s">
        <v>10</v>
      </c>
      <c r="M25" s="61"/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Смирнов Сергей</v>
      </c>
      <c r="D26" s="141"/>
      <c r="E26" s="142"/>
      <c r="F26" s="54">
        <v>13</v>
      </c>
      <c r="G26" s="55">
        <v>1</v>
      </c>
      <c r="H26" s="143" t="str">
        <f ca="1">IF(ISBLANK(INDIRECT(ADDRESS(K26*2+2,3))),"",INDIRECT(ADDRESS(K26*2+2,3)))</f>
        <v>Стрельчук Артем</v>
      </c>
      <c r="I26" s="141"/>
      <c r="J26" s="141"/>
      <c r="K26" s="53">
        <v>3</v>
      </c>
      <c r="L26" s="56" t="s">
        <v>10</v>
      </c>
      <c r="M26" s="61"/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Шихарбеев Борис</v>
      </c>
      <c r="D27" s="141"/>
      <c r="E27" s="142"/>
      <c r="F27" s="54">
        <v>7</v>
      </c>
      <c r="G27" s="55">
        <v>13</v>
      </c>
      <c r="H27" s="143" t="str">
        <f ca="1">IF(ISBLANK(INDIRECT(ADDRESS(K27*2+2,3))),"",INDIRECT(ADDRESS(K27*2+2,3)))</f>
        <v>Гришков Сергей</v>
      </c>
      <c r="I27" s="141"/>
      <c r="J27" s="141"/>
      <c r="K27" s="53">
        <v>2</v>
      </c>
      <c r="L27" s="56" t="s">
        <v>10</v>
      </c>
      <c r="M27" s="61"/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Гришков Сергей</v>
      </c>
      <c r="D30" s="141"/>
      <c r="E30" s="142"/>
      <c r="F30" s="54">
        <v>13</v>
      </c>
      <c r="G30" s="55">
        <v>6</v>
      </c>
      <c r="H30" s="143" t="str">
        <f ca="1">IF(ISBLANK(INDIRECT(ADDRESS(K30*2+2,3))),"",INDIRECT(ADDRESS(K30*2+2,3)))</f>
        <v>Стрельчук Дмитрий</v>
      </c>
      <c r="I30" s="141"/>
      <c r="J30" s="141"/>
      <c r="K30" s="53">
        <v>6</v>
      </c>
      <c r="L30" s="56" t="s">
        <v>10</v>
      </c>
      <c r="M30" s="61"/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Стрельчук Артем</v>
      </c>
      <c r="D31" s="141"/>
      <c r="E31" s="142"/>
      <c r="F31" s="54">
        <v>13</v>
      </c>
      <c r="G31" s="55">
        <v>8</v>
      </c>
      <c r="H31" s="143" t="str">
        <f ca="1">IF(ISBLANK(INDIRECT(ADDRESS(K31*2+2,3))),"",INDIRECT(ADDRESS(K31*2+2,3)))</f>
        <v>Шихарбеев Борис</v>
      </c>
      <c r="I31" s="141"/>
      <c r="J31" s="141"/>
      <c r="K31" s="53">
        <v>1</v>
      </c>
      <c r="L31" s="56" t="s">
        <v>10</v>
      </c>
      <c r="M31" s="61"/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Догадин Евгений</v>
      </c>
      <c r="D32" s="141"/>
      <c r="E32" s="142"/>
      <c r="F32" s="54">
        <v>13</v>
      </c>
      <c r="G32" s="55">
        <v>11</v>
      </c>
      <c r="H32" s="143" t="str">
        <f ca="1">IF(ISBLANK(INDIRECT(ADDRESS(K32*2+2,3))),"",INDIRECT(ADDRESS(K32*2+2,3)))</f>
        <v>Смирнов Сергей</v>
      </c>
      <c r="I32" s="141"/>
      <c r="J32" s="141"/>
      <c r="K32" s="53">
        <v>5</v>
      </c>
      <c r="L32" s="56" t="s">
        <v>10</v>
      </c>
      <c r="M32" s="61"/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Стрельчук Дмитрий</v>
      </c>
      <c r="D35" s="141"/>
      <c r="E35" s="142"/>
      <c r="F35" s="54">
        <v>13</v>
      </c>
      <c r="G35" s="55">
        <v>11</v>
      </c>
      <c r="H35" s="143" t="str">
        <f ca="1">IF(ISBLANK(INDIRECT(ADDRESS(K35*2+2,3))),"",INDIRECT(ADDRESS(K35*2+2,3)))</f>
        <v>Смирнов Сергей</v>
      </c>
      <c r="I35" s="141"/>
      <c r="J35" s="141"/>
      <c r="K35" s="53">
        <v>5</v>
      </c>
      <c r="L35" s="56" t="s">
        <v>10</v>
      </c>
      <c r="M35" s="61"/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Шихарбеев Борис</v>
      </c>
      <c r="D36" s="141"/>
      <c r="E36" s="142"/>
      <c r="F36" s="54">
        <v>6</v>
      </c>
      <c r="G36" s="55">
        <v>13</v>
      </c>
      <c r="H36" s="143" t="str">
        <f ca="1">IF(ISBLANK(INDIRECT(ADDRESS(K36*2+2,3))),"",INDIRECT(ADDRESS(K36*2+2,3)))</f>
        <v>Догадин Евгений</v>
      </c>
      <c r="I36" s="141"/>
      <c r="J36" s="141"/>
      <c r="K36" s="53">
        <v>4</v>
      </c>
      <c r="L36" s="56" t="s">
        <v>10</v>
      </c>
      <c r="M36" s="61"/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Гришков Сергей</v>
      </c>
      <c r="D37" s="141"/>
      <c r="E37" s="142"/>
      <c r="F37" s="54">
        <v>11</v>
      </c>
      <c r="G37" s="55">
        <v>13</v>
      </c>
      <c r="H37" s="143" t="str">
        <f ca="1">IF(ISBLANK(INDIRECT(ADDRESS(K37*2+2,3))),"",INDIRECT(ADDRESS(K37*2+2,3)))</f>
        <v>Стрельчук Артем</v>
      </c>
      <c r="I37" s="141"/>
      <c r="J37" s="141"/>
      <c r="K37" s="53">
        <v>3</v>
      </c>
      <c r="L37" s="56" t="s">
        <v>10</v>
      </c>
      <c r="M37" s="61"/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Стрельчук Артем</v>
      </c>
      <c r="D40" s="141"/>
      <c r="E40" s="142"/>
      <c r="F40" s="54">
        <v>11</v>
      </c>
      <c r="G40" s="55">
        <v>13</v>
      </c>
      <c r="H40" s="143" t="str">
        <f ca="1">IF(ISBLANK(INDIRECT(ADDRESS(K40*2+2,3))),"",INDIRECT(ADDRESS(K40*2+2,3)))</f>
        <v>Стрельчук Дмитрий</v>
      </c>
      <c r="I40" s="141"/>
      <c r="J40" s="141"/>
      <c r="K40" s="53">
        <v>6</v>
      </c>
      <c r="L40" s="56" t="s">
        <v>10</v>
      </c>
      <c r="M40" s="61"/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Догадин Евгений</v>
      </c>
      <c r="D41" s="141"/>
      <c r="E41" s="142"/>
      <c r="F41" s="54">
        <v>5</v>
      </c>
      <c r="G41" s="55">
        <v>13</v>
      </c>
      <c r="H41" s="143" t="str">
        <f ca="1">IF(ISBLANK(INDIRECT(ADDRESS(K41*2+2,3))),"",INDIRECT(ADDRESS(K41*2+2,3)))</f>
        <v>Гришков Сергей</v>
      </c>
      <c r="I41" s="141"/>
      <c r="J41" s="141"/>
      <c r="K41" s="53">
        <v>2</v>
      </c>
      <c r="L41" s="56" t="s">
        <v>10</v>
      </c>
      <c r="M41" s="61"/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Смирнов Сергей</v>
      </c>
      <c r="D42" s="141"/>
      <c r="E42" s="142"/>
      <c r="F42" s="54">
        <v>7</v>
      </c>
      <c r="G42" s="55">
        <v>13</v>
      </c>
      <c r="H42" s="143" t="str">
        <f ca="1">IF(ISBLANK(INDIRECT(ADDRESS(K42*2+2,3))),"",INDIRECT(ADDRESS(K42*2+2,3)))</f>
        <v>Шихарбеев Борис</v>
      </c>
      <c r="I42" s="141"/>
      <c r="J42" s="141"/>
      <c r="K42" s="53">
        <v>1</v>
      </c>
      <c r="L42" s="56" t="s">
        <v>10</v>
      </c>
      <c r="M42" s="61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Q14" sqref="Q14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5" ht="39.75" customHeight="1" x14ac:dyDescent="0.25">
      <c r="B1" s="147" t="s">
        <v>73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74</v>
      </c>
      <c r="M1"/>
      <c r="N1" s="46">
        <v>45676</v>
      </c>
    </row>
    <row r="2" spans="2:15" ht="15.75" thickBot="1" x14ac:dyDescent="0.3">
      <c r="M2"/>
    </row>
    <row r="3" spans="2:15" ht="22.5" customHeight="1" thickBot="1" x14ac:dyDescent="0.3">
      <c r="B3" s="59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1">
        <v>7</v>
      </c>
      <c r="M3" s="3" t="s">
        <v>1</v>
      </c>
      <c r="N3" s="1" t="s">
        <v>3</v>
      </c>
      <c r="O3" s="4" t="s">
        <v>2</v>
      </c>
    </row>
    <row r="4" spans="2:15" ht="24" customHeight="1" x14ac:dyDescent="0.25">
      <c r="B4" s="94">
        <v>1</v>
      </c>
      <c r="C4" s="164" t="s">
        <v>75</v>
      </c>
      <c r="D4" s="165"/>
      <c r="E4" s="166"/>
      <c r="F4" s="10"/>
      <c r="G4" s="6" t="str">
        <f ca="1">INDIRECT(ADDRESS(29,6))&amp;":"&amp;INDIRECT(ADDRESS(29,7))</f>
        <v>13:9</v>
      </c>
      <c r="H4" s="6" t="str">
        <f ca="1">INDIRECT(ADDRESS(32,7))&amp;":"&amp;INDIRECT(ADDRESS(32,6))</f>
        <v>1:13</v>
      </c>
      <c r="I4" s="6" t="str">
        <f ca="1">INDIRECT(ADDRESS(38,6))&amp;":"&amp;INDIRECT(ADDRESS(38,7))</f>
        <v>13:3</v>
      </c>
      <c r="J4" s="6" t="str">
        <f ca="1">INDIRECT(ADDRESS(43,7))&amp;":"&amp;INDIRECT(ADDRESS(43,6))</f>
        <v>13:5</v>
      </c>
      <c r="K4" s="33" t="str">
        <f ca="1">INDIRECT(ADDRESS(47,6))&amp;":"&amp;INDIRECT(ADDRESS(47,7))</f>
        <v>13:4</v>
      </c>
      <c r="L4" s="20" t="str">
        <f ca="1">INDIRECT(ADDRESS(54,7))&amp;":"&amp;INDIRECT(ADDRESS(54,6))</f>
        <v>12:13</v>
      </c>
      <c r="M4" s="102">
        <f ca="1">IF(COUNT(F5:L5)=0,"",COUNTIF(F5:L5,"&gt;0")+0.5*COUNTIF(F5:L5,0))</f>
        <v>4</v>
      </c>
      <c r="N4" s="23"/>
      <c r="O4" s="88">
        <v>2</v>
      </c>
    </row>
    <row r="5" spans="2:15" ht="24" customHeight="1" x14ac:dyDescent="0.25">
      <c r="B5" s="95"/>
      <c r="C5" s="105"/>
      <c r="D5" s="106"/>
      <c r="E5" s="107"/>
      <c r="F5" s="13"/>
      <c r="G5" s="16">
        <f ca="1">IF(LEN(INDIRECT(ADDRESS(ROW()-1, COLUMN())))=1,"",INDIRECT(ADDRESS(29,6))-INDIRECT(ADDRESS(29,7)))</f>
        <v>4</v>
      </c>
      <c r="H5" s="16">
        <f ca="1">IF(LEN(INDIRECT(ADDRESS(ROW()-1, COLUMN())))=1,"",INDIRECT(ADDRESS(32,7))-INDIRECT(ADDRESS(32,6)))</f>
        <v>-12</v>
      </c>
      <c r="I5" s="16">
        <f ca="1">IF(LEN(INDIRECT(ADDRESS(ROW()-1, COLUMN())))=1,"",INDIRECT(ADDRESS(38,6))-INDIRECT(ADDRESS(38,7)))</f>
        <v>10</v>
      </c>
      <c r="J5" s="16">
        <f ca="1">IF(LEN(INDIRECT(ADDRESS(ROW()-1, COLUMN())))=1,"",INDIRECT(ADDRESS(43,7))-INDIRECT(ADDRESS(43,6)))</f>
        <v>8</v>
      </c>
      <c r="K5" s="34">
        <f ca="1">IF(LEN(INDIRECT(ADDRESS(ROW()-1, COLUMN())))=1,"",INDIRECT(ADDRESS(47,6))-INDIRECT(ADDRESS(47,7)))</f>
        <v>9</v>
      </c>
      <c r="L5" s="17">
        <f ca="1">IF(LEN(INDIRECT(ADDRESS(ROW()-1, COLUMN())))=1,"",INDIRECT(ADDRESS(54,7))-INDIRECT(ADDRESS(54,6)))</f>
        <v>-1</v>
      </c>
      <c r="M5" s="103"/>
      <c r="N5" s="16">
        <f ca="1">IF(COUNT(F5:L5)=0,"",SUM(F5:L5))</f>
        <v>18</v>
      </c>
      <c r="O5" s="89"/>
    </row>
    <row r="6" spans="2:15" ht="24" customHeight="1" x14ac:dyDescent="0.25">
      <c r="B6" s="104">
        <v>2</v>
      </c>
      <c r="C6" s="99" t="s">
        <v>76</v>
      </c>
      <c r="D6" s="100"/>
      <c r="E6" s="101"/>
      <c r="F6" s="12" t="str">
        <f ca="1">INDIRECT(ADDRESS(29,7))&amp;":"&amp;INDIRECT(ADDRESS(29,6))</f>
        <v>9:13</v>
      </c>
      <c r="G6" s="8"/>
      <c r="H6" s="7" t="str">
        <f ca="1">INDIRECT(ADDRESS(39,6))&amp;":"&amp;INDIRECT(ADDRESS(39,7))</f>
        <v>7:13</v>
      </c>
      <c r="I6" s="7" t="str">
        <f ca="1">INDIRECT(ADDRESS(42,7))&amp;":"&amp;INDIRECT(ADDRESS(42,6))</f>
        <v>13:6</v>
      </c>
      <c r="J6" s="7" t="str">
        <f ca="1">INDIRECT(ADDRESS(48,6))&amp;":"&amp;INDIRECT(ADDRESS(48,7))</f>
        <v>6:13</v>
      </c>
      <c r="K6" s="35" t="str">
        <f ca="1">INDIRECT(ADDRESS(53,7))&amp;":"&amp;INDIRECT(ADDRESS(53,6))</f>
        <v>13:2</v>
      </c>
      <c r="L6" s="11" t="str">
        <f ca="1">INDIRECT(ADDRESS(22,6))&amp;":"&amp;INDIRECT(ADDRESS(22,7))</f>
        <v>13:11</v>
      </c>
      <c r="M6" s="103">
        <f ca="1">IF(COUNT(F7:L7)=0,"",COUNTIF(F7:L7,"&gt;0")+0.5*COUNTIF(F7:L7,0))</f>
        <v>3</v>
      </c>
      <c r="N6" s="16"/>
      <c r="O6" s="110">
        <v>4</v>
      </c>
    </row>
    <row r="7" spans="2:15" ht="24" customHeight="1" x14ac:dyDescent="0.25">
      <c r="B7" s="95"/>
      <c r="C7" s="99"/>
      <c r="D7" s="100"/>
      <c r="E7" s="101"/>
      <c r="F7" s="22">
        <f ca="1">IF(LEN(INDIRECT(ADDRESS(ROW()-1, COLUMN())))=1,"",INDIRECT(ADDRESS(29,7))-INDIRECT(ADDRESS(29,6)))</f>
        <v>-4</v>
      </c>
      <c r="G7" s="14"/>
      <c r="H7" s="16">
        <f ca="1">IF(LEN(INDIRECT(ADDRESS(ROW()-1, COLUMN())))=1,"",INDIRECT(ADDRESS(39,6))-INDIRECT(ADDRESS(39,7)))</f>
        <v>-6</v>
      </c>
      <c r="I7" s="16">
        <f ca="1">IF(LEN(INDIRECT(ADDRESS(ROW()-1, COLUMN())))=1,"",INDIRECT(ADDRESS(42,7))-INDIRECT(ADDRESS(42,6)))</f>
        <v>7</v>
      </c>
      <c r="J7" s="16">
        <f ca="1">IF(LEN(INDIRECT(ADDRESS(ROW()-1, COLUMN())))=1,"",INDIRECT(ADDRESS(48,6))-INDIRECT(ADDRESS(48,7)))</f>
        <v>-7</v>
      </c>
      <c r="K7" s="34">
        <f ca="1">IF(LEN(INDIRECT(ADDRESS(ROW()-1, COLUMN())))=1,"",INDIRECT(ADDRESS(53,7))-INDIRECT(ADDRESS(53,6)))</f>
        <v>11</v>
      </c>
      <c r="L7" s="17">
        <f ca="1">IF(LEN(INDIRECT(ADDRESS(ROW()-1, COLUMN())))=1,"",INDIRECT(ADDRESS(22,6))-INDIRECT(ADDRESS(22,7)))</f>
        <v>2</v>
      </c>
      <c r="M7" s="103"/>
      <c r="N7" s="16">
        <f ca="1">IF(COUNT(F7:L7)=0,"",SUM(F7:L7))</f>
        <v>3</v>
      </c>
      <c r="O7" s="89"/>
    </row>
    <row r="8" spans="2:15" ht="24" customHeight="1" x14ac:dyDescent="0.25">
      <c r="B8" s="104">
        <v>3</v>
      </c>
      <c r="C8" s="105" t="s">
        <v>77</v>
      </c>
      <c r="D8" s="106"/>
      <c r="E8" s="107"/>
      <c r="F8" s="12" t="str">
        <f ca="1">INDIRECT(ADDRESS(32,6))&amp;":"&amp;INDIRECT(ADDRESS(32,7))</f>
        <v>13:1</v>
      </c>
      <c r="G8" s="7" t="str">
        <f ca="1">INDIRECT(ADDRESS(39,7))&amp;":"&amp;INDIRECT(ADDRESS(39,6))</f>
        <v>13:7</v>
      </c>
      <c r="H8" s="8"/>
      <c r="I8" s="7" t="str">
        <f ca="1">INDIRECT(ADDRESS(49,6))&amp;":"&amp;INDIRECT(ADDRESS(49,7))</f>
        <v>13:4</v>
      </c>
      <c r="J8" s="7" t="str">
        <f ca="1">INDIRECT(ADDRESS(52,7))&amp;":"&amp;INDIRECT(ADDRESS(52,6))</f>
        <v>13:0</v>
      </c>
      <c r="K8" s="35" t="str">
        <f ca="1">INDIRECT(ADDRESS(23,6))&amp;":"&amp;INDIRECT(ADDRESS(23,7))</f>
        <v>13:1</v>
      </c>
      <c r="L8" s="11" t="str">
        <f ca="1">INDIRECT(ADDRESS(28,7))&amp;":"&amp;INDIRECT(ADDRESS(28,6))</f>
        <v>13:6</v>
      </c>
      <c r="M8" s="103">
        <f ca="1">IF(COUNT(F9:L9)=0,"",COUNTIF(F9:L9,"&gt;0")+0.5*COUNTIF(F9:L9,0))</f>
        <v>6</v>
      </c>
      <c r="N8" s="16"/>
      <c r="O8" s="110">
        <v>1</v>
      </c>
    </row>
    <row r="9" spans="2:15" ht="24" customHeight="1" x14ac:dyDescent="0.25">
      <c r="B9" s="95"/>
      <c r="C9" s="105"/>
      <c r="D9" s="106"/>
      <c r="E9" s="107"/>
      <c r="F9" s="22">
        <f ca="1">IF(LEN(INDIRECT(ADDRESS(ROW()-1, COLUMN())))=1,"",INDIRECT(ADDRESS(32,6))-INDIRECT(ADDRESS(32,7)))</f>
        <v>12</v>
      </c>
      <c r="G9" s="16">
        <f ca="1">IF(LEN(INDIRECT(ADDRESS(ROW()-1, COLUMN())))=1,"",INDIRECT(ADDRESS(39,7))-INDIRECT(ADDRESS(39,6)))</f>
        <v>6</v>
      </c>
      <c r="H9" s="14"/>
      <c r="I9" s="16">
        <f ca="1">IF(LEN(INDIRECT(ADDRESS(ROW()-1, COLUMN())))=1,"",INDIRECT(ADDRESS(49,6))-INDIRECT(ADDRESS(49,7)))</f>
        <v>9</v>
      </c>
      <c r="J9" s="16">
        <f ca="1">IF(LEN(INDIRECT(ADDRESS(ROW()-1, COLUMN())))=1,"",INDIRECT(ADDRESS(52,7))-INDIRECT(ADDRESS(52,6)))</f>
        <v>13</v>
      </c>
      <c r="K9" s="34">
        <f ca="1">IF(LEN(INDIRECT(ADDRESS(ROW()-1, COLUMN())))=1,"",INDIRECT(ADDRESS(23,6))-INDIRECT(ADDRESS(23,7)))</f>
        <v>12</v>
      </c>
      <c r="L9" s="17">
        <f ca="1">IF(LEN(INDIRECT(ADDRESS(ROW()-1, COLUMN())))=1,"",INDIRECT(ADDRESS(28,7))-INDIRECT(ADDRESS(28,6)))</f>
        <v>7</v>
      </c>
      <c r="M9" s="103"/>
      <c r="N9" s="16">
        <f ca="1">IF(COUNT(F9:L9)=0,"",SUM(F9:L9))</f>
        <v>59</v>
      </c>
      <c r="O9" s="89"/>
    </row>
    <row r="10" spans="2:15" ht="24" customHeight="1" x14ac:dyDescent="0.25">
      <c r="B10" s="104">
        <v>4</v>
      </c>
      <c r="C10" s="99" t="s">
        <v>78</v>
      </c>
      <c r="D10" s="100"/>
      <c r="E10" s="101"/>
      <c r="F10" s="12" t="str">
        <f ca="1">INDIRECT(ADDRESS(38,7))&amp;":"&amp;INDIRECT(ADDRESS(38,6))</f>
        <v>3:13</v>
      </c>
      <c r="G10" s="7" t="str">
        <f ca="1">INDIRECT(ADDRESS(42,6))&amp;":"&amp;INDIRECT(ADDRESS(42,7))</f>
        <v>6:13</v>
      </c>
      <c r="H10" s="7" t="str">
        <f ca="1">INDIRECT(ADDRESS(49,7))&amp;":"&amp;INDIRECT(ADDRESS(49,6))</f>
        <v>4:13</v>
      </c>
      <c r="I10" s="8"/>
      <c r="J10" s="7" t="str">
        <f ca="1">INDIRECT(ADDRESS(24,6))&amp;":"&amp;INDIRECT(ADDRESS(24,7))</f>
        <v>13:10</v>
      </c>
      <c r="K10" s="35" t="str">
        <f ca="1">INDIRECT(ADDRESS(27,7))&amp;":"&amp;INDIRECT(ADDRESS(27,6))</f>
        <v>13:1</v>
      </c>
      <c r="L10" s="11" t="str">
        <f ca="1">INDIRECT(ADDRESS(33,6))&amp;":"&amp;INDIRECT(ADDRESS(33,7))</f>
        <v>9:13</v>
      </c>
      <c r="M10" s="103">
        <f ca="1">IF(COUNT(F11:L11)=0,"",COUNTIF(F11:L11,"&gt;0")+0.5*COUNTIF(F11:L11,0))</f>
        <v>2</v>
      </c>
      <c r="N10" s="16"/>
      <c r="O10" s="110">
        <v>6</v>
      </c>
    </row>
    <row r="11" spans="2:15" ht="24" customHeight="1" x14ac:dyDescent="0.25">
      <c r="B11" s="95"/>
      <c r="C11" s="99"/>
      <c r="D11" s="100"/>
      <c r="E11" s="101"/>
      <c r="F11" s="22">
        <f ca="1">IF(LEN(INDIRECT(ADDRESS(ROW()-1, COLUMN())))=1,"",INDIRECT(ADDRESS(38,7))-INDIRECT(ADDRESS(38,6)))</f>
        <v>-10</v>
      </c>
      <c r="G11" s="16">
        <f ca="1">IF(LEN(INDIRECT(ADDRESS(ROW()-1, COLUMN())))=1,"",INDIRECT(ADDRESS(42,6))-INDIRECT(ADDRESS(42,7)))</f>
        <v>-7</v>
      </c>
      <c r="H11" s="16">
        <f ca="1">IF(LEN(INDIRECT(ADDRESS(ROW()-1, COLUMN())))=1,"",INDIRECT(ADDRESS(49,7))-INDIRECT(ADDRESS(49,6)))</f>
        <v>-9</v>
      </c>
      <c r="I11" s="14"/>
      <c r="J11" s="16">
        <f ca="1">IF(LEN(INDIRECT(ADDRESS(ROW()-1, COLUMN())))=1,"",INDIRECT(ADDRESS(24,6))-INDIRECT(ADDRESS(24,7)))</f>
        <v>3</v>
      </c>
      <c r="K11" s="34">
        <f ca="1">IF(LEN(INDIRECT(ADDRESS(ROW()-1, COLUMN())))=1,"",INDIRECT(ADDRESS(27,7))-INDIRECT(ADDRESS(27,6)))</f>
        <v>12</v>
      </c>
      <c r="L11" s="17">
        <f ca="1">IF(LEN(INDIRECT(ADDRESS(ROW()-1, COLUMN())))=1,"",INDIRECT(ADDRESS(33,6))-INDIRECT(ADDRESS(33,7)))</f>
        <v>-4</v>
      </c>
      <c r="M11" s="103"/>
      <c r="N11" s="16">
        <f ca="1">IF(COUNT(F11:L11)=0,"",SUM(F11:L11))</f>
        <v>-15</v>
      </c>
      <c r="O11" s="89"/>
    </row>
    <row r="12" spans="2:15" ht="24" customHeight="1" x14ac:dyDescent="0.25">
      <c r="B12" s="104">
        <v>5</v>
      </c>
      <c r="C12" s="126" t="s">
        <v>79</v>
      </c>
      <c r="D12" s="127"/>
      <c r="E12" s="128"/>
      <c r="F12" s="12" t="str">
        <f ca="1">INDIRECT(ADDRESS(43,6))&amp;":"&amp;INDIRECT(ADDRESS(43,7))</f>
        <v>5:13</v>
      </c>
      <c r="G12" s="7" t="str">
        <f ca="1">INDIRECT(ADDRESS(48,7))&amp;":"&amp;INDIRECT(ADDRESS(48,6))</f>
        <v>13:6</v>
      </c>
      <c r="H12" s="7" t="str">
        <f ca="1">INDIRECT(ADDRESS(52,6))&amp;":"&amp;INDIRECT(ADDRESS(52,7))</f>
        <v>0:13</v>
      </c>
      <c r="I12" s="7" t="str">
        <f ca="1">INDIRECT(ADDRESS(24,7))&amp;":"&amp;INDIRECT(ADDRESS(24,6))</f>
        <v>10:13</v>
      </c>
      <c r="J12" s="8"/>
      <c r="K12" s="35" t="str">
        <f ca="1">INDIRECT(ADDRESS(34,6))&amp;":"&amp;INDIRECT(ADDRESS(34,7))</f>
        <v>13:4</v>
      </c>
      <c r="L12" s="11" t="str">
        <f ca="1">INDIRECT(ADDRESS(37,7))&amp;":"&amp;INDIRECT(ADDRESS(37,6))</f>
        <v>13:7</v>
      </c>
      <c r="M12" s="103">
        <f ca="1">IF(COUNT(F13:L13)=0,"",COUNTIF(F13:L13,"&gt;0")+0.5*COUNTIF(F13:L13,0))</f>
        <v>3</v>
      </c>
      <c r="N12" s="16"/>
      <c r="O12" s="110">
        <v>3</v>
      </c>
    </row>
    <row r="13" spans="2:15" ht="24" customHeight="1" x14ac:dyDescent="0.25">
      <c r="B13" s="95"/>
      <c r="C13" s="126"/>
      <c r="D13" s="127"/>
      <c r="E13" s="128"/>
      <c r="F13" s="22">
        <f ca="1">IF(LEN(INDIRECT(ADDRESS(ROW()-1, COLUMN())))=1,"",INDIRECT(ADDRESS(43,6))-INDIRECT(ADDRESS(43,7)))</f>
        <v>-8</v>
      </c>
      <c r="G13" s="16">
        <f ca="1">IF(LEN(INDIRECT(ADDRESS(ROW()-1, COLUMN())))=1,"",INDIRECT(ADDRESS(48,7))-INDIRECT(ADDRESS(48,6)))</f>
        <v>7</v>
      </c>
      <c r="H13" s="16">
        <f ca="1">IF(LEN(INDIRECT(ADDRESS(ROW()-1, COLUMN())))=1,"",INDIRECT(ADDRESS(52,6))-INDIRECT(ADDRESS(52,7)))</f>
        <v>-13</v>
      </c>
      <c r="I13" s="16">
        <f ca="1">IF(LEN(INDIRECT(ADDRESS(ROW()-1, COLUMN())))=1,"",INDIRECT(ADDRESS(24,7))-INDIRECT(ADDRESS(24,6)))</f>
        <v>-3</v>
      </c>
      <c r="J13" s="14"/>
      <c r="K13" s="34">
        <f ca="1">IF(LEN(INDIRECT(ADDRESS(ROW()-1, COLUMN())))=1,"",INDIRECT(ADDRESS(34,6))-INDIRECT(ADDRESS(34,7)))</f>
        <v>9</v>
      </c>
      <c r="L13" s="17">
        <f ca="1">IF(LEN(INDIRECT(ADDRESS(ROW()-1, COLUMN())))=1,"",INDIRECT(ADDRESS(37,7))-INDIRECT(ADDRESS(37,6)))</f>
        <v>6</v>
      </c>
      <c r="M13" s="103"/>
      <c r="N13" s="16">
        <f ca="1">IF(COUNT(F13:L13)=0,"",SUM(F13:L13))</f>
        <v>-2</v>
      </c>
      <c r="O13" s="89"/>
    </row>
    <row r="14" spans="2:15" ht="24" customHeight="1" x14ac:dyDescent="0.25">
      <c r="B14" s="104">
        <v>6</v>
      </c>
      <c r="C14" s="99" t="s">
        <v>80</v>
      </c>
      <c r="D14" s="100"/>
      <c r="E14" s="101"/>
      <c r="F14" s="12" t="str">
        <f ca="1">INDIRECT(ADDRESS(47,7))&amp;":"&amp;INDIRECT(ADDRESS(47,6))</f>
        <v>4:13</v>
      </c>
      <c r="G14" s="7" t="str">
        <f ca="1">INDIRECT(ADDRESS(53,6))&amp;":"&amp;INDIRECT(ADDRESS(53,7))</f>
        <v>2:13</v>
      </c>
      <c r="H14" s="7" t="str">
        <f ca="1">INDIRECT(ADDRESS(23,7))&amp;":"&amp;INDIRECT(ADDRESS(23,6))</f>
        <v>1:13</v>
      </c>
      <c r="I14" s="7" t="str">
        <f ca="1">INDIRECT(ADDRESS(27,6))&amp;":"&amp;INDIRECT(ADDRESS(27,7))</f>
        <v>1:13</v>
      </c>
      <c r="J14" s="7" t="str">
        <f ca="1">INDIRECT(ADDRESS(34,7))&amp;":"&amp;INDIRECT(ADDRESS(34,6))</f>
        <v>4:13</v>
      </c>
      <c r="K14" s="36"/>
      <c r="L14" s="40" t="str">
        <f ca="1">INDIRECT(ADDRESS(44,6))&amp;":"&amp;INDIRECT(ADDRESS(44,7))</f>
        <v>6:13</v>
      </c>
      <c r="M14" s="103">
        <f ca="1">IF(COUNT(F15:L15)=0,"",COUNTIF(F15:L15,"&gt;0")+0.5*COUNTIF(F15:L15,0))</f>
        <v>0</v>
      </c>
      <c r="N14" s="16"/>
      <c r="O14" s="110">
        <v>7</v>
      </c>
    </row>
    <row r="15" spans="2:15" ht="24" customHeight="1" x14ac:dyDescent="0.25">
      <c r="B15" s="95"/>
      <c r="C15" s="99"/>
      <c r="D15" s="100"/>
      <c r="E15" s="101"/>
      <c r="F15" s="22">
        <f ca="1">IF(LEN(INDIRECT(ADDRESS(ROW()-1, COLUMN())))=1,"",INDIRECT(ADDRESS(47,7))-INDIRECT(ADDRESS(47,6)))</f>
        <v>-9</v>
      </c>
      <c r="G15" s="16">
        <f ca="1">IF(LEN(INDIRECT(ADDRESS(ROW()-1, COLUMN())))=1,"",INDIRECT(ADDRESS(53,6))-INDIRECT(ADDRESS(53,7)))</f>
        <v>-11</v>
      </c>
      <c r="H15" s="16">
        <f ca="1">IF(LEN(INDIRECT(ADDRESS(ROW()-1, COLUMN())))=1,"",INDIRECT(ADDRESS(23,7))-INDIRECT(ADDRESS(23,6)))</f>
        <v>-12</v>
      </c>
      <c r="I15" s="16">
        <f ca="1">IF(LEN(INDIRECT(ADDRESS(ROW()-1, COLUMN())))=1,"",INDIRECT(ADDRESS(27,6))-INDIRECT(ADDRESS(27,7)))</f>
        <v>-12</v>
      </c>
      <c r="J15" s="16">
        <f ca="1">IF(LEN(INDIRECT(ADDRESS(ROW()-1, COLUMN())))=1,"",INDIRECT(ADDRESS(34,7))-INDIRECT(ADDRESS(34,6)))</f>
        <v>-9</v>
      </c>
      <c r="K15" s="37"/>
      <c r="L15" s="41">
        <f ca="1">IF(LEN(INDIRECT(ADDRESS(ROW()-1, COLUMN())))=1,"",INDIRECT(ADDRESS(44,6))-INDIRECT(ADDRESS(44,7)))</f>
        <v>-7</v>
      </c>
      <c r="M15" s="103"/>
      <c r="N15" s="16">
        <f ca="1">IF(COUNT(F15:L15)=0,"",SUM(F15:L15))</f>
        <v>-60</v>
      </c>
      <c r="O15" s="89"/>
    </row>
    <row r="16" spans="2:15" ht="24" customHeight="1" x14ac:dyDescent="0.25">
      <c r="B16" s="118">
        <v>7</v>
      </c>
      <c r="C16" s="133" t="s">
        <v>81</v>
      </c>
      <c r="D16" s="134"/>
      <c r="E16" s="135"/>
      <c r="F16" s="29" t="str">
        <f ca="1">INDIRECT(ADDRESS(54,6))&amp;":"&amp;INDIRECT(ADDRESS(54,7))</f>
        <v>13:12</v>
      </c>
      <c r="G16" s="30" t="str">
        <f ca="1">INDIRECT(ADDRESS(22,7))&amp;":"&amp;INDIRECT(ADDRESS(22,6))</f>
        <v>11:13</v>
      </c>
      <c r="H16" s="30" t="str">
        <f ca="1">INDIRECT(ADDRESS(28,6))&amp;":"&amp;INDIRECT(ADDRESS(28,7))</f>
        <v>6:13</v>
      </c>
      <c r="I16" s="30" t="str">
        <f ca="1">INDIRECT(ADDRESS(33,7))&amp;":"&amp;INDIRECT(ADDRESS(33,6))</f>
        <v>13:9</v>
      </c>
      <c r="J16" s="30" t="str">
        <f ca="1">INDIRECT(ADDRESS(37,6))&amp;":"&amp;INDIRECT(ADDRESS(37,7))</f>
        <v>7:13</v>
      </c>
      <c r="K16" s="38" t="str">
        <f ca="1">INDIRECT(ADDRESS(44,7))&amp;":"&amp;INDIRECT(ADDRESS(44,6))</f>
        <v>13:6</v>
      </c>
      <c r="L16" s="31"/>
      <c r="M16" s="103">
        <f ca="1">IF(COUNT(F17:L17)=0,"",COUNTIF(F17:L17,"&gt;0")+0.5*COUNTIF(F17:L17,0))</f>
        <v>3</v>
      </c>
      <c r="N16" s="32"/>
      <c r="O16" s="170">
        <v>5</v>
      </c>
    </row>
    <row r="17" spans="2:15" ht="24" customHeight="1" thickBot="1" x14ac:dyDescent="0.3">
      <c r="B17" s="119"/>
      <c r="C17" s="136"/>
      <c r="D17" s="137"/>
      <c r="E17" s="138"/>
      <c r="F17" s="19">
        <f ca="1">IF(LEN(INDIRECT(ADDRESS(ROW()-1, COLUMN())))=1,"",INDIRECT(ADDRESS(54,6))-INDIRECT(ADDRESS(54,7)))</f>
        <v>1</v>
      </c>
      <c r="G17" s="18">
        <f ca="1">IF(LEN(INDIRECT(ADDRESS(ROW()-1, COLUMN())))=1,"",INDIRECT(ADDRESS(22,7))-INDIRECT(ADDRESS(22,6)))</f>
        <v>-2</v>
      </c>
      <c r="H17" s="18">
        <f ca="1">IF(LEN(INDIRECT(ADDRESS(ROW()-1, COLUMN())))=1,"",INDIRECT(ADDRESS(28,6))-INDIRECT(ADDRESS(28,7)))</f>
        <v>-7</v>
      </c>
      <c r="I17" s="18">
        <f ca="1">IF(LEN(INDIRECT(ADDRESS(ROW()-1, COLUMN())))=1,"",INDIRECT(ADDRESS(33,7))-INDIRECT(ADDRESS(33,6)))</f>
        <v>4</v>
      </c>
      <c r="J17" s="18">
        <f ca="1">IF(LEN(INDIRECT(ADDRESS(ROW()-1, COLUMN())))=1,"",INDIRECT(ADDRESS(37,6))-INDIRECT(ADDRESS(37,7)))</f>
        <v>-6</v>
      </c>
      <c r="K17" s="39">
        <f ca="1">IF(LEN(INDIRECT(ADDRESS(ROW()-1, COLUMN())))=1,"",INDIRECT(ADDRESS(44,7))-INDIRECT(ADDRESS(44,6)))</f>
        <v>7</v>
      </c>
      <c r="L17" s="15"/>
      <c r="M17" s="115"/>
      <c r="N17" s="18">
        <f ca="1">IF(COUNT(F17:L17)=0,"",SUM(F17:L17))</f>
        <v>-3</v>
      </c>
      <c r="O17" s="146"/>
    </row>
    <row r="18" spans="2:15" x14ac:dyDescent="0.25">
      <c r="M18"/>
    </row>
    <row r="19" spans="2:15" x14ac:dyDescent="0.25">
      <c r="M19"/>
    </row>
    <row r="20" spans="2:15" x14ac:dyDescent="0.25">
      <c r="M20"/>
    </row>
    <row r="21" spans="2:15" ht="30" customHeight="1" thickBot="1" x14ac:dyDescent="0.3">
      <c r="B21" s="114" t="s">
        <v>4</v>
      </c>
      <c r="C21" s="114"/>
      <c r="D21" s="114"/>
      <c r="E21" s="114"/>
      <c r="F21" s="114"/>
      <c r="G21" s="114"/>
      <c r="H21" s="114"/>
      <c r="I21" s="114"/>
      <c r="J21" s="114"/>
      <c r="K21" s="114"/>
      <c r="M21"/>
    </row>
    <row r="22" spans="2:15" ht="30" customHeight="1" thickBot="1" x14ac:dyDescent="0.35">
      <c r="B22" s="5">
        <v>2</v>
      </c>
      <c r="C22" s="167" t="str">
        <f ca="1">IF(ISBLANK(INDIRECT(ADDRESS(B22*2+2,3))),"",INDIRECT(ADDRESS(B22*2+2,3)))</f>
        <v>Гаджиев Сеявуш</v>
      </c>
      <c r="D22" s="167"/>
      <c r="E22" s="168"/>
      <c r="F22" s="70">
        <v>13</v>
      </c>
      <c r="G22" s="71">
        <v>11</v>
      </c>
      <c r="H22" s="167" t="str">
        <f ca="1">IF(ISBLANK(INDIRECT(ADDRESS(K22*2+2,3))),"",INDIRECT(ADDRESS(K22*2+2,3)))</f>
        <v>Шапкин Константин</v>
      </c>
      <c r="I22" s="167"/>
      <c r="J22" s="168"/>
      <c r="K22" s="5">
        <v>7</v>
      </c>
      <c r="L22" s="27" t="s">
        <v>10</v>
      </c>
      <c r="M22" s="26"/>
    </row>
    <row r="23" spans="2:15" ht="30" customHeight="1" thickBot="1" x14ac:dyDescent="0.35">
      <c r="B23" s="5">
        <v>3</v>
      </c>
      <c r="C23" s="167" t="str">
        <f ca="1">IF(ISBLANK(INDIRECT(ADDRESS(B23*2+2,3))),"",INDIRECT(ADDRESS(B23*2+2,3)))</f>
        <v>Гулинин Евгений</v>
      </c>
      <c r="D23" s="167"/>
      <c r="E23" s="168"/>
      <c r="F23" s="70">
        <v>13</v>
      </c>
      <c r="G23" s="71">
        <v>1</v>
      </c>
      <c r="H23" s="167" t="str">
        <f ca="1">IF(ISBLANK(INDIRECT(ADDRESS(K23*2+2,3))),"",INDIRECT(ADDRESS(K23*2+2,3)))</f>
        <v>Радченко Григорий</v>
      </c>
      <c r="I23" s="167"/>
      <c r="J23" s="168"/>
      <c r="K23" s="5">
        <v>6</v>
      </c>
      <c r="L23" s="27" t="s">
        <v>10</v>
      </c>
      <c r="M23" s="26"/>
    </row>
    <row r="24" spans="2:15" ht="30" customHeight="1" thickBot="1" x14ac:dyDescent="0.35">
      <c r="B24" s="5">
        <v>4</v>
      </c>
      <c r="C24" s="167" t="str">
        <f ca="1">IF(ISBLANK(INDIRECT(ADDRESS(B24*2+2,3))),"",INDIRECT(ADDRESS(B24*2+2,3)))</f>
        <v>Новиков Петр</v>
      </c>
      <c r="D24" s="167"/>
      <c r="E24" s="168"/>
      <c r="F24" s="70">
        <v>13</v>
      </c>
      <c r="G24" s="71">
        <v>10</v>
      </c>
      <c r="H24" s="167" t="str">
        <f ca="1">IF(ISBLANK(INDIRECT(ADDRESS(K24*2+2,3))),"",INDIRECT(ADDRESS(K24*2+2,3)))</f>
        <v>Земцов Сергей</v>
      </c>
      <c r="I24" s="167"/>
      <c r="J24" s="168"/>
      <c r="K24" s="5">
        <v>5</v>
      </c>
      <c r="L24" s="27" t="s">
        <v>10</v>
      </c>
      <c r="M24" s="26"/>
    </row>
    <row r="25" spans="2:15" ht="30" customHeight="1" x14ac:dyDescent="0.25"/>
    <row r="26" spans="2:15" ht="30" customHeight="1" thickBot="1" x14ac:dyDescent="0.3">
      <c r="B26" s="114" t="s">
        <v>5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2:15" ht="30" customHeight="1" thickBot="1" x14ac:dyDescent="0.35">
      <c r="B27" s="5">
        <v>6</v>
      </c>
      <c r="C27" s="167" t="str">
        <f ca="1">IF(ISBLANK(INDIRECT(ADDRESS(B27*2+2,3))),"",INDIRECT(ADDRESS(B27*2+2,3)))</f>
        <v>Радченко Григорий</v>
      </c>
      <c r="D27" s="167"/>
      <c r="E27" s="168"/>
      <c r="F27" s="70">
        <v>1</v>
      </c>
      <c r="G27" s="71">
        <v>13</v>
      </c>
      <c r="H27" s="169" t="str">
        <f ca="1">IF(ISBLANK(INDIRECT(ADDRESS(K27*2+2,3))),"",INDIRECT(ADDRESS(K27*2+2,3)))</f>
        <v>Новиков Петр</v>
      </c>
      <c r="I27" s="167"/>
      <c r="J27" s="167"/>
      <c r="K27" s="5">
        <v>4</v>
      </c>
      <c r="L27" s="27" t="s">
        <v>10</v>
      </c>
      <c r="M27" s="26"/>
    </row>
    <row r="28" spans="2:15" ht="30" customHeight="1" thickBot="1" x14ac:dyDescent="0.35">
      <c r="B28" s="5">
        <v>7</v>
      </c>
      <c r="C28" s="167" t="str">
        <f ca="1">IF(ISBLANK(INDIRECT(ADDRESS(B28*2+2,3))),"",INDIRECT(ADDRESS(B28*2+2,3)))</f>
        <v>Шапкин Константин</v>
      </c>
      <c r="D28" s="167"/>
      <c r="E28" s="168"/>
      <c r="F28" s="70">
        <v>6</v>
      </c>
      <c r="G28" s="71">
        <v>13</v>
      </c>
      <c r="H28" s="169" t="str">
        <f ca="1">IF(ISBLANK(INDIRECT(ADDRESS(K28*2+2,3))),"",INDIRECT(ADDRESS(K28*2+2,3)))</f>
        <v>Гулинин Евгений</v>
      </c>
      <c r="I28" s="167"/>
      <c r="J28" s="167"/>
      <c r="K28" s="5">
        <v>3</v>
      </c>
      <c r="L28" s="27" t="s">
        <v>10</v>
      </c>
      <c r="M28" s="26"/>
    </row>
    <row r="29" spans="2:15" ht="30" customHeight="1" thickBot="1" x14ac:dyDescent="0.35">
      <c r="B29" s="5">
        <v>1</v>
      </c>
      <c r="C29" s="167" t="str">
        <f ca="1">IF(ISBLANK(INDIRECT(ADDRESS(B29*2+2,3))),"",INDIRECT(ADDRESS(B29*2+2,3)))</f>
        <v>Вахрушев Владимир</v>
      </c>
      <c r="D29" s="167"/>
      <c r="E29" s="168"/>
      <c r="F29" s="70">
        <v>13</v>
      </c>
      <c r="G29" s="71">
        <v>9</v>
      </c>
      <c r="H29" s="169" t="str">
        <f ca="1">IF(ISBLANK(INDIRECT(ADDRESS(K29*2+2,3))),"",INDIRECT(ADDRESS(K29*2+2,3)))</f>
        <v>Гаджиев Сеявуш</v>
      </c>
      <c r="I29" s="167"/>
      <c r="J29" s="167"/>
      <c r="K29" s="5">
        <v>2</v>
      </c>
      <c r="L29" s="27" t="s">
        <v>10</v>
      </c>
      <c r="M29" s="26"/>
    </row>
    <row r="30" spans="2:15" ht="30" customHeight="1" x14ac:dyDescent="0.25"/>
    <row r="31" spans="2:15" ht="30" customHeight="1" thickBot="1" x14ac:dyDescent="0.3">
      <c r="B31" s="114" t="s">
        <v>6</v>
      </c>
      <c r="C31" s="114"/>
      <c r="D31" s="114"/>
      <c r="E31" s="114"/>
      <c r="F31" s="114"/>
      <c r="G31" s="114"/>
      <c r="H31" s="114"/>
      <c r="I31" s="114"/>
      <c r="J31" s="114"/>
      <c r="K31" s="114"/>
    </row>
    <row r="32" spans="2:15" ht="30" customHeight="1" thickBot="1" x14ac:dyDescent="0.35">
      <c r="B32" s="5">
        <v>3</v>
      </c>
      <c r="C32" s="167" t="str">
        <f ca="1">IF(ISBLANK(INDIRECT(ADDRESS(B32*2+2,3))),"",INDIRECT(ADDRESS(B32*2+2,3)))</f>
        <v>Гулинин Евгений</v>
      </c>
      <c r="D32" s="167"/>
      <c r="E32" s="168"/>
      <c r="F32" s="70">
        <v>13</v>
      </c>
      <c r="G32" s="71">
        <v>1</v>
      </c>
      <c r="H32" s="169" t="str">
        <f ca="1">IF(ISBLANK(INDIRECT(ADDRESS(K32*2+2,3))),"",INDIRECT(ADDRESS(K32*2+2,3)))</f>
        <v>Вахрушев Владимир</v>
      </c>
      <c r="I32" s="167"/>
      <c r="J32" s="167"/>
      <c r="K32" s="5">
        <v>1</v>
      </c>
      <c r="L32" s="27" t="s">
        <v>10</v>
      </c>
      <c r="M32" s="26"/>
    </row>
    <row r="33" spans="2:13" ht="30" customHeight="1" thickBot="1" x14ac:dyDescent="0.35">
      <c r="B33" s="5">
        <v>4</v>
      </c>
      <c r="C33" s="167" t="str">
        <f ca="1">IF(ISBLANK(INDIRECT(ADDRESS(B33*2+2,3))),"",INDIRECT(ADDRESS(B33*2+2,3)))</f>
        <v>Новиков Петр</v>
      </c>
      <c r="D33" s="167"/>
      <c r="E33" s="168"/>
      <c r="F33" s="70">
        <v>9</v>
      </c>
      <c r="G33" s="71">
        <v>13</v>
      </c>
      <c r="H33" s="169" t="str">
        <f ca="1">IF(ISBLANK(INDIRECT(ADDRESS(K33*2+2,3))),"",INDIRECT(ADDRESS(K33*2+2,3)))</f>
        <v>Шапкин Константин</v>
      </c>
      <c r="I33" s="167"/>
      <c r="J33" s="167"/>
      <c r="K33" s="5">
        <v>7</v>
      </c>
      <c r="L33" s="27" t="s">
        <v>10</v>
      </c>
      <c r="M33" s="26"/>
    </row>
    <row r="34" spans="2:13" ht="30" customHeight="1" thickBot="1" x14ac:dyDescent="0.35">
      <c r="B34" s="5">
        <v>5</v>
      </c>
      <c r="C34" s="167" t="str">
        <f ca="1">IF(ISBLANK(INDIRECT(ADDRESS(B34*2+2,3))),"",INDIRECT(ADDRESS(B34*2+2,3)))</f>
        <v>Земцов Сергей</v>
      </c>
      <c r="D34" s="167"/>
      <c r="E34" s="168"/>
      <c r="F34" s="70">
        <v>13</v>
      </c>
      <c r="G34" s="71">
        <v>4</v>
      </c>
      <c r="H34" s="169" t="str">
        <f ca="1">IF(ISBLANK(INDIRECT(ADDRESS(K34*2+2,3))),"",INDIRECT(ADDRESS(K34*2+2,3)))</f>
        <v>Радченко Григорий</v>
      </c>
      <c r="I34" s="167"/>
      <c r="J34" s="167"/>
      <c r="K34" s="5">
        <v>6</v>
      </c>
      <c r="L34" s="27" t="s">
        <v>10</v>
      </c>
      <c r="M34" s="26"/>
    </row>
    <row r="35" spans="2:13" ht="30" customHeight="1" x14ac:dyDescent="0.25"/>
    <row r="36" spans="2:13" ht="30" customHeight="1" thickBot="1" x14ac:dyDescent="0.3">
      <c r="B36" s="114" t="s">
        <v>7</v>
      </c>
      <c r="C36" s="114"/>
      <c r="D36" s="114"/>
      <c r="E36" s="114"/>
      <c r="F36" s="114"/>
      <c r="G36" s="114"/>
      <c r="H36" s="114"/>
      <c r="I36" s="114"/>
      <c r="J36" s="114"/>
      <c r="K36" s="114"/>
    </row>
    <row r="37" spans="2:13" ht="30" customHeight="1" thickBot="1" x14ac:dyDescent="0.35">
      <c r="B37" s="5">
        <v>7</v>
      </c>
      <c r="C37" s="167" t="str">
        <f ca="1">IF(ISBLANK(INDIRECT(ADDRESS(B37*2+2,3))),"",INDIRECT(ADDRESS(B37*2+2,3)))</f>
        <v>Шапкин Константин</v>
      </c>
      <c r="D37" s="167"/>
      <c r="E37" s="168"/>
      <c r="F37" s="70">
        <v>7</v>
      </c>
      <c r="G37" s="71">
        <v>13</v>
      </c>
      <c r="H37" s="169" t="str">
        <f ca="1">IF(ISBLANK(INDIRECT(ADDRESS(K37*2+2,3))),"",INDIRECT(ADDRESS(K37*2+2,3)))</f>
        <v>Земцов Сергей</v>
      </c>
      <c r="I37" s="167"/>
      <c r="J37" s="167"/>
      <c r="K37" s="5">
        <v>5</v>
      </c>
      <c r="L37" s="27" t="s">
        <v>10</v>
      </c>
      <c r="M37" s="26"/>
    </row>
    <row r="38" spans="2:13" ht="30" customHeight="1" thickBot="1" x14ac:dyDescent="0.35">
      <c r="B38" s="5">
        <v>1</v>
      </c>
      <c r="C38" s="167" t="str">
        <f ca="1">IF(ISBLANK(INDIRECT(ADDRESS(B38*2+2,3))),"",INDIRECT(ADDRESS(B38*2+2,3)))</f>
        <v>Вахрушев Владимир</v>
      </c>
      <c r="D38" s="167"/>
      <c r="E38" s="168"/>
      <c r="F38" s="70">
        <v>13</v>
      </c>
      <c r="G38" s="71">
        <v>3</v>
      </c>
      <c r="H38" s="169" t="str">
        <f ca="1">IF(ISBLANK(INDIRECT(ADDRESS(K38*2+2,3))),"",INDIRECT(ADDRESS(K38*2+2,3)))</f>
        <v>Новиков Петр</v>
      </c>
      <c r="I38" s="167"/>
      <c r="J38" s="167"/>
      <c r="K38" s="5">
        <v>4</v>
      </c>
      <c r="L38" s="27" t="s">
        <v>10</v>
      </c>
      <c r="M38" s="26"/>
    </row>
    <row r="39" spans="2:13" ht="30" customHeight="1" thickBot="1" x14ac:dyDescent="0.35">
      <c r="B39" s="5">
        <v>2</v>
      </c>
      <c r="C39" s="167" t="str">
        <f ca="1">IF(ISBLANK(INDIRECT(ADDRESS(B39*2+2,3))),"",INDIRECT(ADDRESS(B39*2+2,3)))</f>
        <v>Гаджиев Сеявуш</v>
      </c>
      <c r="D39" s="167"/>
      <c r="E39" s="168"/>
      <c r="F39" s="70">
        <v>7</v>
      </c>
      <c r="G39" s="71">
        <v>13</v>
      </c>
      <c r="H39" s="169" t="str">
        <f ca="1">IF(ISBLANK(INDIRECT(ADDRESS(K39*2+2,3))),"",INDIRECT(ADDRESS(K39*2+2,3)))</f>
        <v>Гулинин Евгений</v>
      </c>
      <c r="I39" s="167"/>
      <c r="J39" s="167"/>
      <c r="K39" s="5">
        <v>3</v>
      </c>
      <c r="L39" s="27" t="s">
        <v>10</v>
      </c>
      <c r="M39" s="26"/>
    </row>
    <row r="40" spans="2:13" ht="30" customHeight="1" x14ac:dyDescent="0.25"/>
    <row r="41" spans="2:13" ht="30" customHeight="1" thickBot="1" x14ac:dyDescent="0.3">
      <c r="B41" s="114" t="s">
        <v>8</v>
      </c>
      <c r="C41" s="114"/>
      <c r="D41" s="114"/>
      <c r="E41" s="114"/>
      <c r="F41" s="114"/>
      <c r="G41" s="114"/>
      <c r="H41" s="114"/>
      <c r="I41" s="114"/>
      <c r="J41" s="114"/>
      <c r="K41" s="114"/>
    </row>
    <row r="42" spans="2:13" ht="30" customHeight="1" thickBot="1" x14ac:dyDescent="0.35">
      <c r="B42" s="5">
        <v>4</v>
      </c>
      <c r="C42" s="167" t="str">
        <f ca="1">IF(ISBLANK(INDIRECT(ADDRESS(B42*2+2,3))),"",INDIRECT(ADDRESS(B42*2+2,3)))</f>
        <v>Новиков Петр</v>
      </c>
      <c r="D42" s="167"/>
      <c r="E42" s="168"/>
      <c r="F42" s="70">
        <v>6</v>
      </c>
      <c r="G42" s="71">
        <v>13</v>
      </c>
      <c r="H42" s="169" t="str">
        <f ca="1">IF(ISBLANK(INDIRECT(ADDRESS(K42*2+2,3))),"",INDIRECT(ADDRESS(K42*2+2,3)))</f>
        <v>Гаджиев Сеявуш</v>
      </c>
      <c r="I42" s="167"/>
      <c r="J42" s="167"/>
      <c r="K42" s="5">
        <v>2</v>
      </c>
      <c r="L42" s="27" t="s">
        <v>10</v>
      </c>
      <c r="M42" s="26"/>
    </row>
    <row r="43" spans="2:13" ht="30" customHeight="1" thickBot="1" x14ac:dyDescent="0.35">
      <c r="B43" s="5">
        <v>5</v>
      </c>
      <c r="C43" s="167" t="str">
        <f ca="1">IF(ISBLANK(INDIRECT(ADDRESS(B43*2+2,3))),"",INDIRECT(ADDRESS(B43*2+2,3)))</f>
        <v>Земцов Сергей</v>
      </c>
      <c r="D43" s="167"/>
      <c r="E43" s="168"/>
      <c r="F43" s="70">
        <v>5</v>
      </c>
      <c r="G43" s="71">
        <v>13</v>
      </c>
      <c r="H43" s="169" t="str">
        <f ca="1">IF(ISBLANK(INDIRECT(ADDRESS(K43*2+2,3))),"",INDIRECT(ADDRESS(K43*2+2,3)))</f>
        <v>Вахрушев Владимир</v>
      </c>
      <c r="I43" s="167"/>
      <c r="J43" s="167"/>
      <c r="K43" s="5">
        <v>1</v>
      </c>
      <c r="L43" s="27" t="s">
        <v>10</v>
      </c>
      <c r="M43" s="26"/>
    </row>
    <row r="44" spans="2:13" ht="30" customHeight="1" thickBot="1" x14ac:dyDescent="0.35">
      <c r="B44" s="5">
        <v>6</v>
      </c>
      <c r="C44" s="167" t="str">
        <f ca="1">IF(ISBLANK(INDIRECT(ADDRESS(B44*2+2,3))),"",INDIRECT(ADDRESS(B44*2+2,3)))</f>
        <v>Радченко Григорий</v>
      </c>
      <c r="D44" s="167"/>
      <c r="E44" s="168"/>
      <c r="F44" s="70">
        <v>6</v>
      </c>
      <c r="G44" s="71">
        <v>13</v>
      </c>
      <c r="H44" s="169" t="str">
        <f ca="1">IF(ISBLANK(INDIRECT(ADDRESS(K44*2+2,3))),"",INDIRECT(ADDRESS(K44*2+2,3)))</f>
        <v>Шапкин Константин</v>
      </c>
      <c r="I44" s="167"/>
      <c r="J44" s="167"/>
      <c r="K44" s="5">
        <v>7</v>
      </c>
      <c r="L44" s="27" t="s">
        <v>10</v>
      </c>
      <c r="M44" s="26"/>
    </row>
    <row r="45" spans="2:13" ht="30" customHeight="1" x14ac:dyDescent="0.25"/>
    <row r="46" spans="2:13" ht="30" customHeight="1" thickBot="1" x14ac:dyDescent="0.3">
      <c r="B46" s="114" t="s">
        <v>11</v>
      </c>
      <c r="C46" s="114"/>
      <c r="D46" s="114"/>
      <c r="E46" s="114"/>
      <c r="F46" s="114"/>
      <c r="G46" s="114"/>
      <c r="H46" s="114"/>
      <c r="I46" s="114"/>
      <c r="J46" s="114"/>
      <c r="K46" s="114"/>
    </row>
    <row r="47" spans="2:13" ht="30" customHeight="1" thickBot="1" x14ac:dyDescent="0.35">
      <c r="B47" s="5">
        <v>1</v>
      </c>
      <c r="C47" s="167" t="str">
        <f ca="1">IF(ISBLANK(INDIRECT(ADDRESS(B47*2+2,3))),"",INDIRECT(ADDRESS(B47*2+2,3)))</f>
        <v>Вахрушев Владимир</v>
      </c>
      <c r="D47" s="167"/>
      <c r="E47" s="168"/>
      <c r="F47" s="70">
        <v>13</v>
      </c>
      <c r="G47" s="71">
        <v>4</v>
      </c>
      <c r="H47" s="169" t="str">
        <f ca="1">IF(ISBLANK(INDIRECT(ADDRESS(K47*2+2,3))),"",INDIRECT(ADDRESS(K47*2+2,3)))</f>
        <v>Радченко Григорий</v>
      </c>
      <c r="I47" s="167"/>
      <c r="J47" s="167"/>
      <c r="K47" s="5">
        <v>6</v>
      </c>
      <c r="L47" s="27" t="s">
        <v>10</v>
      </c>
      <c r="M47" s="26"/>
    </row>
    <row r="48" spans="2:13" ht="30" customHeight="1" thickBot="1" x14ac:dyDescent="0.35">
      <c r="B48" s="5">
        <v>2</v>
      </c>
      <c r="C48" s="167" t="str">
        <f ca="1">IF(ISBLANK(INDIRECT(ADDRESS(B48*2+2,3))),"",INDIRECT(ADDRESS(B48*2+2,3)))</f>
        <v>Гаджиев Сеявуш</v>
      </c>
      <c r="D48" s="167"/>
      <c r="E48" s="168"/>
      <c r="F48" s="70">
        <v>6</v>
      </c>
      <c r="G48" s="71">
        <v>13</v>
      </c>
      <c r="H48" s="169" t="str">
        <f ca="1">IF(ISBLANK(INDIRECT(ADDRESS(K48*2+2,3))),"",INDIRECT(ADDRESS(K48*2+2,3)))</f>
        <v>Земцов Сергей</v>
      </c>
      <c r="I48" s="167"/>
      <c r="J48" s="167"/>
      <c r="K48" s="5">
        <v>5</v>
      </c>
      <c r="L48" s="27" t="s">
        <v>10</v>
      </c>
      <c r="M48" s="26"/>
    </row>
    <row r="49" spans="2:13" ht="30" customHeight="1" thickBot="1" x14ac:dyDescent="0.35">
      <c r="B49" s="5">
        <v>3</v>
      </c>
      <c r="C49" s="167" t="str">
        <f ca="1">IF(ISBLANK(INDIRECT(ADDRESS(B49*2+2,3))),"",INDIRECT(ADDRESS(B49*2+2,3)))</f>
        <v>Гулинин Евгений</v>
      </c>
      <c r="D49" s="167"/>
      <c r="E49" s="168"/>
      <c r="F49" s="70">
        <v>13</v>
      </c>
      <c r="G49" s="71">
        <v>4</v>
      </c>
      <c r="H49" s="169" t="str">
        <f ca="1">IF(ISBLANK(INDIRECT(ADDRESS(K49*2+2,3))),"",INDIRECT(ADDRESS(K49*2+2,3)))</f>
        <v>Новиков Петр</v>
      </c>
      <c r="I49" s="167"/>
      <c r="J49" s="167"/>
      <c r="K49" s="5">
        <v>4</v>
      </c>
      <c r="L49" s="27" t="s">
        <v>10</v>
      </c>
      <c r="M49" s="26"/>
    </row>
    <row r="50" spans="2:13" ht="30" customHeight="1" x14ac:dyDescent="0.25"/>
    <row r="51" spans="2:13" ht="30" customHeight="1" thickBot="1" x14ac:dyDescent="0.3">
      <c r="B51" s="114" t="s">
        <v>12</v>
      </c>
      <c r="C51" s="114"/>
      <c r="D51" s="114"/>
      <c r="E51" s="114"/>
      <c r="F51" s="114"/>
      <c r="G51" s="114"/>
      <c r="H51" s="114"/>
      <c r="I51" s="114"/>
      <c r="J51" s="114"/>
      <c r="K51" s="114"/>
    </row>
    <row r="52" spans="2:13" ht="30" customHeight="1" thickBot="1" x14ac:dyDescent="0.35">
      <c r="B52" s="5">
        <v>5</v>
      </c>
      <c r="C52" s="167" t="str">
        <f ca="1">IF(ISBLANK(INDIRECT(ADDRESS(B52*2+2,3))),"",INDIRECT(ADDRESS(B52*2+2,3)))</f>
        <v>Земцов Сергей</v>
      </c>
      <c r="D52" s="167"/>
      <c r="E52" s="168"/>
      <c r="F52" s="70">
        <v>0</v>
      </c>
      <c r="G52" s="71">
        <v>13</v>
      </c>
      <c r="H52" s="169" t="str">
        <f ca="1">IF(ISBLANK(INDIRECT(ADDRESS(K52*2+2,3))),"",INDIRECT(ADDRESS(K52*2+2,3)))</f>
        <v>Гулинин Евгений</v>
      </c>
      <c r="I52" s="167"/>
      <c r="J52" s="167"/>
      <c r="K52" s="5">
        <v>3</v>
      </c>
      <c r="L52" s="27" t="s">
        <v>10</v>
      </c>
      <c r="M52" s="26"/>
    </row>
    <row r="53" spans="2:13" ht="30" customHeight="1" thickBot="1" x14ac:dyDescent="0.35">
      <c r="B53" s="5">
        <v>6</v>
      </c>
      <c r="C53" s="167" t="str">
        <f ca="1">IF(ISBLANK(INDIRECT(ADDRESS(B53*2+2,3))),"",INDIRECT(ADDRESS(B53*2+2,3)))</f>
        <v>Радченко Григорий</v>
      </c>
      <c r="D53" s="167"/>
      <c r="E53" s="168"/>
      <c r="F53" s="70">
        <v>2</v>
      </c>
      <c r="G53" s="71">
        <v>13</v>
      </c>
      <c r="H53" s="169" t="str">
        <f ca="1">IF(ISBLANK(INDIRECT(ADDRESS(K53*2+2,3))),"",INDIRECT(ADDRESS(K53*2+2,3)))</f>
        <v>Гаджиев Сеявуш</v>
      </c>
      <c r="I53" s="167"/>
      <c r="J53" s="167"/>
      <c r="K53" s="5">
        <v>2</v>
      </c>
      <c r="L53" s="27" t="s">
        <v>10</v>
      </c>
      <c r="M53" s="26"/>
    </row>
    <row r="54" spans="2:13" ht="30" customHeight="1" thickBot="1" x14ac:dyDescent="0.35">
      <c r="B54" s="5">
        <v>7</v>
      </c>
      <c r="C54" s="167" t="str">
        <f ca="1">IF(ISBLANK(INDIRECT(ADDRESS(B54*2+2,3))),"",INDIRECT(ADDRESS(B54*2+2,3)))</f>
        <v>Шапкин Константин</v>
      </c>
      <c r="D54" s="167"/>
      <c r="E54" s="168"/>
      <c r="F54" s="70">
        <v>13</v>
      </c>
      <c r="G54" s="71">
        <v>12</v>
      </c>
      <c r="H54" s="169" t="str">
        <f ca="1">IF(ISBLANK(INDIRECT(ADDRESS(K54*2+2,3))),"",INDIRECT(ADDRESS(K54*2+2,3)))</f>
        <v>Вахрушев Владимир</v>
      </c>
      <c r="I54" s="167"/>
      <c r="J54" s="167"/>
      <c r="K54" s="5">
        <v>1</v>
      </c>
      <c r="L54" s="27" t="s">
        <v>10</v>
      </c>
      <c r="M54" s="26"/>
    </row>
  </sheetData>
  <mergeCells count="79">
    <mergeCell ref="O4:O5"/>
    <mergeCell ref="B1:K1"/>
    <mergeCell ref="C3:E3"/>
    <mergeCell ref="B4:B5"/>
    <mergeCell ref="C4:E5"/>
    <mergeCell ref="M4:M5"/>
    <mergeCell ref="B6:B7"/>
    <mergeCell ref="C6:E7"/>
    <mergeCell ref="M6:M7"/>
    <mergeCell ref="O6:O7"/>
    <mergeCell ref="B8:B9"/>
    <mergeCell ref="C8:E9"/>
    <mergeCell ref="M8:M9"/>
    <mergeCell ref="O8:O9"/>
    <mergeCell ref="B10:B11"/>
    <mergeCell ref="C10:E11"/>
    <mergeCell ref="M10:M11"/>
    <mergeCell ref="O10:O11"/>
    <mergeCell ref="B12:B13"/>
    <mergeCell ref="C12:E13"/>
    <mergeCell ref="M12:M13"/>
    <mergeCell ref="O12:O13"/>
    <mergeCell ref="O14:O15"/>
    <mergeCell ref="B16:B17"/>
    <mergeCell ref="C16:E17"/>
    <mergeCell ref="M16:M17"/>
    <mergeCell ref="O16:O17"/>
    <mergeCell ref="C24:E24"/>
    <mergeCell ref="H24:J24"/>
    <mergeCell ref="B14:B15"/>
    <mergeCell ref="C14:E15"/>
    <mergeCell ref="M14:M15"/>
    <mergeCell ref="B21:K21"/>
    <mergeCell ref="C22:E22"/>
    <mergeCell ref="H22:J22"/>
    <mergeCell ref="C23:E23"/>
    <mergeCell ref="H23:J23"/>
    <mergeCell ref="C34:E34"/>
    <mergeCell ref="H34:J34"/>
    <mergeCell ref="B26:K26"/>
    <mergeCell ref="C27:E27"/>
    <mergeCell ref="H27:J27"/>
    <mergeCell ref="C28:E28"/>
    <mergeCell ref="H28:J28"/>
    <mergeCell ref="C29:E29"/>
    <mergeCell ref="H29:J29"/>
    <mergeCell ref="B31:K31"/>
    <mergeCell ref="C32:E32"/>
    <mergeCell ref="H32:J32"/>
    <mergeCell ref="C33:E33"/>
    <mergeCell ref="H33:J33"/>
    <mergeCell ref="C44:E44"/>
    <mergeCell ref="H44:J44"/>
    <mergeCell ref="B36:K36"/>
    <mergeCell ref="C37:E37"/>
    <mergeCell ref="H37:J37"/>
    <mergeCell ref="C38:E38"/>
    <mergeCell ref="H38:J38"/>
    <mergeCell ref="C39:E39"/>
    <mergeCell ref="H39:J39"/>
    <mergeCell ref="B41:K41"/>
    <mergeCell ref="C42:E42"/>
    <mergeCell ref="H42:J42"/>
    <mergeCell ref="C43:E43"/>
    <mergeCell ref="H43:J43"/>
    <mergeCell ref="C54:E54"/>
    <mergeCell ref="H54:J54"/>
    <mergeCell ref="B46:K46"/>
    <mergeCell ref="C47:E47"/>
    <mergeCell ref="H47:J47"/>
    <mergeCell ref="C48:E48"/>
    <mergeCell ref="H48:J48"/>
    <mergeCell ref="C49:E49"/>
    <mergeCell ref="H49:J49"/>
    <mergeCell ref="B51:K51"/>
    <mergeCell ref="C52:E52"/>
    <mergeCell ref="H52:J52"/>
    <mergeCell ref="C53:E53"/>
    <mergeCell ref="H53:J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H17" sqref="H17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99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 t="s">
        <v>109</v>
      </c>
      <c r="N1" s="46">
        <v>45682</v>
      </c>
    </row>
    <row r="2" spans="2:14" ht="15.75" thickBot="1" x14ac:dyDescent="0.3">
      <c r="M2"/>
    </row>
    <row r="3" spans="2:14" ht="30" customHeight="1" thickBot="1" x14ac:dyDescent="0.3">
      <c r="B3" s="72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64" t="s">
        <v>103</v>
      </c>
      <c r="D4" s="165"/>
      <c r="E4" s="166"/>
      <c r="F4" s="10" t="s">
        <v>30</v>
      </c>
      <c r="G4" s="6" t="str">
        <f ca="1">INDIRECT(ADDRESS(27,6))&amp;":"&amp;INDIRECT(ADDRESS(27,7))</f>
        <v>13:3</v>
      </c>
      <c r="H4" s="6" t="str">
        <f ca="1">INDIRECT(ADDRESS(31,7))&amp;":"&amp;INDIRECT(ADDRESS(31,6))</f>
        <v>12:13</v>
      </c>
      <c r="I4" s="6" t="str">
        <f ca="1">INDIRECT(ADDRESS(36,6))&amp;":"&amp;INDIRECT(ADDRESS(36,7))</f>
        <v>13:7</v>
      </c>
      <c r="J4" s="6" t="str">
        <f ca="1">INDIRECT(ADDRESS(42,7))&amp;":"&amp;INDIRECT(ADDRESS(42,6))</f>
        <v>13:9</v>
      </c>
      <c r="K4" s="20" t="str">
        <f ca="1">INDIRECT(ADDRESS(20,6))&amp;":"&amp;INDIRECT(ADDRESS(20,7))</f>
        <v>13:8</v>
      </c>
      <c r="L4" s="151">
        <f ca="1">IF(COUNT(F5:K5)=0,"",COUNTIF(F5:K5,"&gt;0")+0.5*COUNTIF(F5:K5,0))</f>
        <v>4</v>
      </c>
      <c r="M4" s="23">
        <v>3</v>
      </c>
      <c r="N4" s="88">
        <v>1</v>
      </c>
    </row>
    <row r="5" spans="2:14" ht="24" customHeight="1" x14ac:dyDescent="0.25">
      <c r="B5" s="95"/>
      <c r="C5" s="105"/>
      <c r="D5" s="106"/>
      <c r="E5" s="107"/>
      <c r="F5" s="13" t="s">
        <v>30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-1</v>
      </c>
      <c r="I5" s="16">
        <f ca="1">IF(LEN(INDIRECT(ADDRESS(ROW()-1, COLUMN())))=1,"",INDIRECT(ADDRESS(36,6))-INDIRECT(ADDRESS(36,7)))</f>
        <v>6</v>
      </c>
      <c r="J5" s="16">
        <f ca="1">IF(LEN(INDIRECT(ADDRESS(ROW()-1, COLUMN())))=1,"",INDIRECT(ADDRESS(42,7))-INDIRECT(ADDRESS(42,6)))</f>
        <v>4</v>
      </c>
      <c r="K5" s="17">
        <f ca="1">IF(LEN(INDIRECT(ADDRESS(ROW()-1, COLUMN())))=1,"",INDIRECT(ADDRESS(20,6))-INDIRECT(ADDRESS(20,7)))</f>
        <v>5</v>
      </c>
      <c r="L5" s="144"/>
      <c r="M5" s="16">
        <f ca="1">IF(COUNT(F5:K5)=0,"",SUM(F5:K5))</f>
        <v>24</v>
      </c>
      <c r="N5" s="89"/>
    </row>
    <row r="6" spans="2:14" ht="24" customHeight="1" x14ac:dyDescent="0.25">
      <c r="B6" s="104">
        <v>2</v>
      </c>
      <c r="C6" s="99" t="s">
        <v>105</v>
      </c>
      <c r="D6" s="100"/>
      <c r="E6" s="101"/>
      <c r="F6" s="12" t="str">
        <f ca="1">INDIRECT(ADDRESS(27,7))&amp;":"&amp;INDIRECT(ADDRESS(27,6))</f>
        <v>3:13</v>
      </c>
      <c r="G6" s="8" t="s">
        <v>30</v>
      </c>
      <c r="H6" s="7" t="str">
        <f ca="1">INDIRECT(ADDRESS(37,6))&amp;":"&amp;INDIRECT(ADDRESS(37,7))</f>
        <v>7:13</v>
      </c>
      <c r="I6" s="7" t="str">
        <f ca="1">INDIRECT(ADDRESS(41,7))&amp;":"&amp;INDIRECT(ADDRESS(41,6))</f>
        <v>9:13</v>
      </c>
      <c r="J6" s="7" t="str">
        <f ca="1">INDIRECT(ADDRESS(21,6))&amp;":"&amp;INDIRECT(ADDRESS(21,7))</f>
        <v>8:13</v>
      </c>
      <c r="K6" s="11" t="str">
        <f ca="1">INDIRECT(ADDRESS(30,6))&amp;":"&amp;INDIRECT(ADDRESS(30,7))</f>
        <v>13:7</v>
      </c>
      <c r="L6" s="144">
        <f ca="1">IF(COUNT(F7:K7)=0,"",COUNTIF(F7:K7,"&gt;0")+0.5*COUNTIF(F7:K7,0))</f>
        <v>1</v>
      </c>
      <c r="M6" s="16"/>
      <c r="N6" s="110">
        <v>5</v>
      </c>
    </row>
    <row r="7" spans="2:14" ht="24" customHeight="1" x14ac:dyDescent="0.25">
      <c r="B7" s="95"/>
      <c r="C7" s="99"/>
      <c r="D7" s="100"/>
      <c r="E7" s="101"/>
      <c r="F7" s="22">
        <f ca="1">IF(LEN(INDIRECT(ADDRESS(ROW()-1, COLUMN())))=1,"",INDIRECT(ADDRESS(27,7))-INDIRECT(ADDRESS(27,6)))</f>
        <v>-10</v>
      </c>
      <c r="G7" s="14" t="s">
        <v>30</v>
      </c>
      <c r="H7" s="16">
        <f ca="1">IF(LEN(INDIRECT(ADDRESS(ROW()-1, COLUMN())))=1,"",INDIRECT(ADDRESS(37,6))-INDIRECT(ADDRESS(37,7)))</f>
        <v>-6</v>
      </c>
      <c r="I7" s="16">
        <f ca="1">IF(LEN(INDIRECT(ADDRESS(ROW()-1, COLUMN())))=1,"",INDIRECT(ADDRESS(41,7))-INDIRECT(ADDRESS(41,6)))</f>
        <v>-4</v>
      </c>
      <c r="J7" s="16">
        <f ca="1">IF(LEN(INDIRECT(ADDRESS(ROW()-1, COLUMN())))=1,"",INDIRECT(ADDRESS(21,6))-INDIRECT(ADDRESS(21,7)))</f>
        <v>-5</v>
      </c>
      <c r="K7" s="17">
        <f ca="1">IF(LEN(INDIRECT(ADDRESS(ROW()-1, COLUMN())))=1,"",INDIRECT(ADDRESS(30,6))-INDIRECT(ADDRESS(30,7)))</f>
        <v>6</v>
      </c>
      <c r="L7" s="144"/>
      <c r="M7" s="16">
        <f ca="1">IF(COUNT(F7:K7)=0,"",SUM(F7:K7))</f>
        <v>-19</v>
      </c>
      <c r="N7" s="89"/>
    </row>
    <row r="8" spans="2:14" ht="24" customHeight="1" x14ac:dyDescent="0.25">
      <c r="B8" s="104">
        <v>3</v>
      </c>
      <c r="C8" s="126" t="s">
        <v>104</v>
      </c>
      <c r="D8" s="127"/>
      <c r="E8" s="128"/>
      <c r="F8" s="12" t="str">
        <f ca="1">INDIRECT(ADDRESS(31,6))&amp;":"&amp;INDIRECT(ADDRESS(31,7))</f>
        <v>13:12</v>
      </c>
      <c r="G8" s="7" t="str">
        <f ca="1">INDIRECT(ADDRESS(37,7))&amp;":"&amp;INDIRECT(ADDRESS(37,6))</f>
        <v>13:7</v>
      </c>
      <c r="H8" s="8" t="s">
        <v>30</v>
      </c>
      <c r="I8" s="7" t="str">
        <f ca="1">INDIRECT(ADDRESS(22,6))&amp;":"&amp;INDIRECT(ADDRESS(22,7))</f>
        <v>13:1</v>
      </c>
      <c r="J8" s="7" t="str">
        <f ca="1">INDIRECT(ADDRESS(26,7))&amp;":"&amp;INDIRECT(ADDRESS(26,6))</f>
        <v>8:13</v>
      </c>
      <c r="K8" s="11" t="str">
        <f ca="1">INDIRECT(ADDRESS(40,6))&amp;":"&amp;INDIRECT(ADDRESS(40,7))</f>
        <v>13:4</v>
      </c>
      <c r="L8" s="144">
        <f ca="1">IF(COUNT(F9:K9)=0,"",COUNTIF(F9:K9,"&gt;0")+0.5*COUNTIF(F9:K9,0))</f>
        <v>4</v>
      </c>
      <c r="M8" s="16">
        <v>-4</v>
      </c>
      <c r="N8" s="110">
        <v>3</v>
      </c>
    </row>
    <row r="9" spans="2:14" ht="24" customHeight="1" x14ac:dyDescent="0.25">
      <c r="B9" s="95"/>
      <c r="C9" s="126"/>
      <c r="D9" s="127"/>
      <c r="E9" s="128"/>
      <c r="F9" s="22">
        <f ca="1">IF(LEN(INDIRECT(ADDRESS(ROW()-1, COLUMN())))=1,"",INDIRECT(ADDRESS(31,6))-INDIRECT(ADDRESS(31,7)))</f>
        <v>1</v>
      </c>
      <c r="G9" s="16">
        <f ca="1">IF(LEN(INDIRECT(ADDRESS(ROW()-1, COLUMN())))=1,"",INDIRECT(ADDRESS(37,7))-INDIRECT(ADDRESS(37,6)))</f>
        <v>6</v>
      </c>
      <c r="H9" s="14" t="s">
        <v>30</v>
      </c>
      <c r="I9" s="16">
        <f ca="1">IF(LEN(INDIRECT(ADDRESS(ROW()-1, COLUMN())))=1,"",INDIRECT(ADDRESS(22,6))-INDIRECT(ADDRESS(22,7)))</f>
        <v>12</v>
      </c>
      <c r="J9" s="16">
        <f ca="1">IF(LEN(INDIRECT(ADDRESS(ROW()-1, COLUMN())))=1,"",INDIRECT(ADDRESS(26,7))-INDIRECT(ADDRESS(26,6)))</f>
        <v>-5</v>
      </c>
      <c r="K9" s="17">
        <f ca="1">IF(LEN(INDIRECT(ADDRESS(ROW()-1, COLUMN())))=1,"",INDIRECT(ADDRESS(40,6))-INDIRECT(ADDRESS(40,7)))</f>
        <v>9</v>
      </c>
      <c r="L9" s="144"/>
      <c r="M9" s="16">
        <f ca="1">IF(COUNT(F9:K9)=0,"",SUM(F9:K9))</f>
        <v>23</v>
      </c>
      <c r="N9" s="89"/>
    </row>
    <row r="10" spans="2:14" ht="24" customHeight="1" x14ac:dyDescent="0.25">
      <c r="B10" s="104">
        <v>4</v>
      </c>
      <c r="C10" s="99" t="s">
        <v>106</v>
      </c>
      <c r="D10" s="100"/>
      <c r="E10" s="101"/>
      <c r="F10" s="12" t="str">
        <f ca="1">INDIRECT(ADDRESS(36,7))&amp;":"&amp;INDIRECT(ADDRESS(36,6))</f>
        <v>7:13</v>
      </c>
      <c r="G10" s="7" t="str">
        <f ca="1">INDIRECT(ADDRESS(41,6))&amp;":"&amp;INDIRECT(ADDRESS(41,7))</f>
        <v>13:9</v>
      </c>
      <c r="H10" s="7" t="str">
        <f ca="1">INDIRECT(ADDRESS(22,7))&amp;":"&amp;INDIRECT(ADDRESS(22,6))</f>
        <v>1:13</v>
      </c>
      <c r="I10" s="8" t="s">
        <v>30</v>
      </c>
      <c r="J10" s="7" t="str">
        <f ca="1">INDIRECT(ADDRESS(32,6))&amp;":"&amp;INDIRECT(ADDRESS(32,7))</f>
        <v>11:13</v>
      </c>
      <c r="K10" s="11" t="str">
        <f ca="1">INDIRECT(ADDRESS(25,7))&amp;":"&amp;INDIRECT(ADDRESS(25,6))</f>
        <v>13:1</v>
      </c>
      <c r="L10" s="144">
        <f ca="1">IF(COUNT(F11:K11)=0,"",COUNTIF(F11:K11,"&gt;0")+0.5*COUNTIF(F11:K11,0))</f>
        <v>2</v>
      </c>
      <c r="M10" s="16"/>
      <c r="N10" s="110">
        <v>4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-6</v>
      </c>
      <c r="G11" s="16">
        <f ca="1">IF(LEN(INDIRECT(ADDRESS(ROW()-1, COLUMN())))=1,"",INDIRECT(ADDRESS(41,6))-INDIRECT(ADDRESS(41,7)))</f>
        <v>4</v>
      </c>
      <c r="H11" s="16">
        <f ca="1">IF(LEN(INDIRECT(ADDRESS(ROW()-1, COLUMN())))=1,"",INDIRECT(ADDRESS(22,7))-INDIRECT(ADDRESS(22,6)))</f>
        <v>-12</v>
      </c>
      <c r="I11" s="14" t="s">
        <v>30</v>
      </c>
      <c r="J11" s="16">
        <f ca="1">IF(LEN(INDIRECT(ADDRESS(ROW()-1, COLUMN())))=1,"",INDIRECT(ADDRESS(32,6))-INDIRECT(ADDRESS(32,7)))</f>
        <v>-2</v>
      </c>
      <c r="K11" s="17">
        <f ca="1">IF(LEN(INDIRECT(ADDRESS(ROW()-1, COLUMN())))=1,"",INDIRECT(ADDRESS(25,7))-INDIRECT(ADDRESS(25,6)))</f>
        <v>12</v>
      </c>
      <c r="L11" s="144"/>
      <c r="M11" s="16">
        <f ca="1">IF(COUNT(F11:K11)=0,"",SUM(F11:K11))</f>
        <v>-4</v>
      </c>
      <c r="N11" s="89"/>
    </row>
    <row r="12" spans="2:14" ht="24" customHeight="1" x14ac:dyDescent="0.25">
      <c r="B12" s="104">
        <v>5</v>
      </c>
      <c r="C12" s="105" t="s">
        <v>107</v>
      </c>
      <c r="D12" s="106"/>
      <c r="E12" s="107"/>
      <c r="F12" s="12" t="str">
        <f ca="1">INDIRECT(ADDRESS(42,6))&amp;":"&amp;INDIRECT(ADDRESS(42,7))</f>
        <v>9:13</v>
      </c>
      <c r="G12" s="7" t="str">
        <f ca="1">INDIRECT(ADDRESS(21,7))&amp;":"&amp;INDIRECT(ADDRESS(21,6))</f>
        <v>13:8</v>
      </c>
      <c r="H12" s="7" t="str">
        <f ca="1">INDIRECT(ADDRESS(26,6))&amp;":"&amp;INDIRECT(ADDRESS(26,7))</f>
        <v>13:8</v>
      </c>
      <c r="I12" s="7" t="str">
        <f ca="1">INDIRECT(ADDRESS(32,7))&amp;":"&amp;INDIRECT(ADDRESS(32,6))</f>
        <v>13:11</v>
      </c>
      <c r="J12" s="8" t="s">
        <v>30</v>
      </c>
      <c r="K12" s="11" t="str">
        <f ca="1">INDIRECT(ADDRESS(35,7))&amp;":"&amp;INDIRECT(ADDRESS(35,6))</f>
        <v>13:1</v>
      </c>
      <c r="L12" s="144">
        <f ca="1">IF(COUNT(F13:K13)=0,"",COUNTIF(F13:K13,"&gt;0")+0.5*COUNTIF(F13:K13,0))</f>
        <v>4</v>
      </c>
      <c r="M12" s="16">
        <v>1</v>
      </c>
      <c r="N12" s="110">
        <v>2</v>
      </c>
    </row>
    <row r="13" spans="2:14" ht="24" customHeight="1" x14ac:dyDescent="0.25">
      <c r="B13" s="95"/>
      <c r="C13" s="105"/>
      <c r="D13" s="106"/>
      <c r="E13" s="107"/>
      <c r="F13" s="22">
        <f ca="1">IF(LEN(INDIRECT(ADDRESS(ROW()-1, COLUMN())))=1,"",INDIRECT(ADDRESS(42,6))-INDIRECT(ADDRESS(42,7)))</f>
        <v>-4</v>
      </c>
      <c r="G13" s="16">
        <f ca="1">IF(LEN(INDIRECT(ADDRESS(ROW()-1, COLUMN())))=1,"",INDIRECT(ADDRESS(21,7))-INDIRECT(ADDRESS(21,6)))</f>
        <v>5</v>
      </c>
      <c r="H13" s="16">
        <f ca="1">IF(LEN(INDIRECT(ADDRESS(ROW()-1, COLUMN())))=1,"",INDIRECT(ADDRESS(26,6))-INDIRECT(ADDRESS(26,7)))</f>
        <v>5</v>
      </c>
      <c r="I13" s="16">
        <f ca="1">IF(LEN(INDIRECT(ADDRESS(ROW()-1, COLUMN())))=1,"",INDIRECT(ADDRESS(32,7))-INDIRECT(ADDRESS(32,6)))</f>
        <v>2</v>
      </c>
      <c r="J13" s="14" t="s">
        <v>30</v>
      </c>
      <c r="K13" s="17">
        <f ca="1">IF(LEN(INDIRECT(ADDRESS(ROW()-1, COLUMN())))=1,"",INDIRECT(ADDRESS(35,7))-INDIRECT(ADDRESS(35,6)))</f>
        <v>12</v>
      </c>
      <c r="L13" s="144"/>
      <c r="M13" s="16">
        <f ca="1">IF(COUNT(F13:K13)=0,"",SUM(F13:K13))</f>
        <v>20</v>
      </c>
      <c r="N13" s="89"/>
    </row>
    <row r="14" spans="2:14" ht="24" customHeight="1" x14ac:dyDescent="0.25">
      <c r="B14" s="104">
        <v>6</v>
      </c>
      <c r="C14" s="99" t="s">
        <v>108</v>
      </c>
      <c r="D14" s="100"/>
      <c r="E14" s="101"/>
      <c r="F14" s="12" t="str">
        <f ca="1">INDIRECT(ADDRESS(20,7))&amp;":"&amp;INDIRECT(ADDRESS(20,6))</f>
        <v>8:13</v>
      </c>
      <c r="G14" s="7" t="str">
        <f ca="1">INDIRECT(ADDRESS(30,7))&amp;":"&amp;INDIRECT(ADDRESS(30,6))</f>
        <v>7:13</v>
      </c>
      <c r="H14" s="7" t="str">
        <f ca="1">INDIRECT(ADDRESS(40,7))&amp;":"&amp;INDIRECT(ADDRESS(40,6))</f>
        <v>4:13</v>
      </c>
      <c r="I14" s="7" t="str">
        <f ca="1">INDIRECT(ADDRESS(25,6))&amp;":"&amp;INDIRECT(ADDRESS(25,7))</f>
        <v>1:13</v>
      </c>
      <c r="J14" s="7" t="str">
        <f ca="1">INDIRECT(ADDRESS(35,6))&amp;":"&amp;INDIRECT(ADDRESS(35,7))</f>
        <v>1:13</v>
      </c>
      <c r="K14" s="50" t="s">
        <v>30</v>
      </c>
      <c r="L14" s="144">
        <f ca="1">IF(COUNT(F15:K15)=0,"",COUNTIF(F15:K15,"&gt;0")+0.5*COUNTIF(F15:K15,0))</f>
        <v>0</v>
      </c>
      <c r="M14" s="16"/>
      <c r="N14" s="110">
        <v>6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-5</v>
      </c>
      <c r="G15" s="18">
        <f ca="1">IF(LEN(INDIRECT(ADDRESS(ROW()-1, COLUMN())))=1,"",INDIRECT(ADDRESS(30,7))-INDIRECT(ADDRESS(30,6)))</f>
        <v>-6</v>
      </c>
      <c r="H15" s="18">
        <f ca="1">IF(LEN(INDIRECT(ADDRESS(ROW()-1, COLUMN())))=1,"",INDIRECT(ADDRESS(40,7))-INDIRECT(ADDRESS(40,6)))</f>
        <v>-9</v>
      </c>
      <c r="I15" s="18">
        <f ca="1">IF(LEN(INDIRECT(ADDRESS(ROW()-1, COLUMN())))=1,"",INDIRECT(ADDRESS(25,6))-INDIRECT(ADDRESS(25,7)))</f>
        <v>-12</v>
      </c>
      <c r="J15" s="18">
        <f ca="1">IF(LEN(INDIRECT(ADDRESS(ROW()-1, COLUMN())))=1,"",INDIRECT(ADDRESS(35,6))-INDIRECT(ADDRESS(35,7)))</f>
        <v>-12</v>
      </c>
      <c r="K15" s="15" t="s">
        <v>30</v>
      </c>
      <c r="L15" s="145"/>
      <c r="M15" s="18">
        <f ca="1">IF(COUNT(F15:K15)=0,"",SUM(F15:K15))</f>
        <v>-44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Петрушко Алексей</v>
      </c>
      <c r="D20" s="141"/>
      <c r="E20" s="142"/>
      <c r="F20" s="54">
        <v>13</v>
      </c>
      <c r="G20" s="55">
        <v>8</v>
      </c>
      <c r="H20" s="143" t="str">
        <f ca="1">IF(ISBLANK(INDIRECT(ADDRESS(K20*2+2,3))),"",INDIRECT(ADDRESS(K20*2+2,3)))</f>
        <v>Тюнин Иван</v>
      </c>
      <c r="I20" s="141"/>
      <c r="J20" s="141"/>
      <c r="K20" s="53">
        <v>6</v>
      </c>
      <c r="L20" s="56" t="s">
        <v>10</v>
      </c>
      <c r="M20" s="73">
        <v>1</v>
      </c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Глуховский Аркадий</v>
      </c>
      <c r="D21" s="141"/>
      <c r="E21" s="142"/>
      <c r="F21" s="54">
        <v>8</v>
      </c>
      <c r="G21" s="55">
        <v>13</v>
      </c>
      <c r="H21" s="143" t="str">
        <f ca="1">IF(ISBLANK(INDIRECT(ADDRESS(K21*2+2,3))),"",INDIRECT(ADDRESS(K21*2+2,3)))</f>
        <v>Волков Денис</v>
      </c>
      <c r="I21" s="141"/>
      <c r="J21" s="141"/>
      <c r="K21" s="53">
        <v>5</v>
      </c>
      <c r="L21" s="56" t="s">
        <v>10</v>
      </c>
      <c r="M21" s="73">
        <v>2</v>
      </c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Дубовицкий Игорь</v>
      </c>
      <c r="D22" s="141"/>
      <c r="E22" s="142"/>
      <c r="F22" s="54">
        <v>13</v>
      </c>
      <c r="G22" s="55">
        <v>1</v>
      </c>
      <c r="H22" s="143" t="str">
        <f ca="1">IF(ISBLANK(INDIRECT(ADDRESS(K22*2+2,3))),"",INDIRECT(ADDRESS(K22*2+2,3)))</f>
        <v>Ницинский Станислав</v>
      </c>
      <c r="I22" s="141"/>
      <c r="J22" s="141"/>
      <c r="K22" s="53">
        <v>4</v>
      </c>
      <c r="L22" s="56" t="s">
        <v>10</v>
      </c>
      <c r="M22" s="73">
        <v>3</v>
      </c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Тюнин Иван</v>
      </c>
      <c r="D25" s="141"/>
      <c r="E25" s="142"/>
      <c r="F25" s="54">
        <v>1</v>
      </c>
      <c r="G25" s="55">
        <v>13</v>
      </c>
      <c r="H25" s="143" t="str">
        <f ca="1">IF(ISBLANK(INDIRECT(ADDRESS(K25*2+2,3))),"",INDIRECT(ADDRESS(K25*2+2,3)))</f>
        <v>Ницинский Станислав</v>
      </c>
      <c r="I25" s="141"/>
      <c r="J25" s="141"/>
      <c r="K25" s="53">
        <v>4</v>
      </c>
      <c r="L25" s="56" t="s">
        <v>10</v>
      </c>
      <c r="M25" s="73">
        <v>4</v>
      </c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Волков Денис</v>
      </c>
      <c r="D26" s="141"/>
      <c r="E26" s="142"/>
      <c r="F26" s="54">
        <v>13</v>
      </c>
      <c r="G26" s="55">
        <v>8</v>
      </c>
      <c r="H26" s="143" t="str">
        <f ca="1">IF(ISBLANK(INDIRECT(ADDRESS(K26*2+2,3))),"",INDIRECT(ADDRESS(K26*2+2,3)))</f>
        <v>Дубовицкий Игорь</v>
      </c>
      <c r="I26" s="141"/>
      <c r="J26" s="141"/>
      <c r="K26" s="53">
        <v>3</v>
      </c>
      <c r="L26" s="56" t="s">
        <v>10</v>
      </c>
      <c r="M26" s="73">
        <v>5</v>
      </c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Петрушко Алексей</v>
      </c>
      <c r="D27" s="141"/>
      <c r="E27" s="142"/>
      <c r="F27" s="54">
        <v>13</v>
      </c>
      <c r="G27" s="55">
        <v>3</v>
      </c>
      <c r="H27" s="143" t="str">
        <f ca="1">IF(ISBLANK(INDIRECT(ADDRESS(K27*2+2,3))),"",INDIRECT(ADDRESS(K27*2+2,3)))</f>
        <v>Глуховский Аркадий</v>
      </c>
      <c r="I27" s="141"/>
      <c r="J27" s="141"/>
      <c r="K27" s="53">
        <v>2</v>
      </c>
      <c r="L27" s="56" t="s">
        <v>10</v>
      </c>
      <c r="M27" s="73">
        <v>6</v>
      </c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Глуховский Аркадий</v>
      </c>
      <c r="D30" s="141"/>
      <c r="E30" s="142"/>
      <c r="F30" s="54">
        <v>13</v>
      </c>
      <c r="G30" s="55">
        <v>7</v>
      </c>
      <c r="H30" s="143" t="str">
        <f ca="1">IF(ISBLANK(INDIRECT(ADDRESS(K30*2+2,3))),"",INDIRECT(ADDRESS(K30*2+2,3)))</f>
        <v>Тюнин Иван</v>
      </c>
      <c r="I30" s="141"/>
      <c r="J30" s="141"/>
      <c r="K30" s="53">
        <v>6</v>
      </c>
      <c r="L30" s="56" t="s">
        <v>10</v>
      </c>
      <c r="M30" s="73">
        <v>3</v>
      </c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Дубовицкий Игорь</v>
      </c>
      <c r="D31" s="141"/>
      <c r="E31" s="142"/>
      <c r="F31" s="54">
        <v>13</v>
      </c>
      <c r="G31" s="55">
        <v>12</v>
      </c>
      <c r="H31" s="143" t="str">
        <f ca="1">IF(ISBLANK(INDIRECT(ADDRESS(K31*2+2,3))),"",INDIRECT(ADDRESS(K31*2+2,3)))</f>
        <v>Петрушко Алексей</v>
      </c>
      <c r="I31" s="141"/>
      <c r="J31" s="141"/>
      <c r="K31" s="53">
        <v>1</v>
      </c>
      <c r="L31" s="56" t="s">
        <v>10</v>
      </c>
      <c r="M31" s="73">
        <v>2</v>
      </c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Ницинский Станислав</v>
      </c>
      <c r="D32" s="141"/>
      <c r="E32" s="142"/>
      <c r="F32" s="54">
        <v>11</v>
      </c>
      <c r="G32" s="55">
        <v>13</v>
      </c>
      <c r="H32" s="143" t="str">
        <f ca="1">IF(ISBLANK(INDIRECT(ADDRESS(K32*2+2,3))),"",INDIRECT(ADDRESS(K32*2+2,3)))</f>
        <v>Волков Денис</v>
      </c>
      <c r="I32" s="141"/>
      <c r="J32" s="141"/>
      <c r="K32" s="53">
        <v>5</v>
      </c>
      <c r="L32" s="56" t="s">
        <v>10</v>
      </c>
      <c r="M32" s="73">
        <v>1</v>
      </c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Тюнин Иван</v>
      </c>
      <c r="D35" s="141"/>
      <c r="E35" s="142"/>
      <c r="F35" s="54">
        <v>1</v>
      </c>
      <c r="G35" s="55">
        <v>13</v>
      </c>
      <c r="H35" s="143" t="str">
        <f ca="1">IF(ISBLANK(INDIRECT(ADDRESS(K35*2+2,3))),"",INDIRECT(ADDRESS(K35*2+2,3)))</f>
        <v>Волков Денис</v>
      </c>
      <c r="I35" s="141"/>
      <c r="J35" s="141"/>
      <c r="K35" s="53">
        <v>5</v>
      </c>
      <c r="L35" s="56" t="s">
        <v>10</v>
      </c>
      <c r="M35" s="73">
        <v>6</v>
      </c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Петрушко Алексей</v>
      </c>
      <c r="D36" s="141"/>
      <c r="E36" s="142"/>
      <c r="F36" s="54">
        <v>13</v>
      </c>
      <c r="G36" s="55">
        <v>7</v>
      </c>
      <c r="H36" s="143" t="str">
        <f ca="1">IF(ISBLANK(INDIRECT(ADDRESS(K36*2+2,3))),"",INDIRECT(ADDRESS(K36*2+2,3)))</f>
        <v>Ницинский Станислав</v>
      </c>
      <c r="I36" s="141"/>
      <c r="J36" s="141"/>
      <c r="K36" s="53">
        <v>4</v>
      </c>
      <c r="L36" s="56" t="s">
        <v>10</v>
      </c>
      <c r="M36" s="73">
        <v>5</v>
      </c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Глуховский Аркадий</v>
      </c>
      <c r="D37" s="141"/>
      <c r="E37" s="142"/>
      <c r="F37" s="54">
        <v>7</v>
      </c>
      <c r="G37" s="55">
        <v>13</v>
      </c>
      <c r="H37" s="143" t="str">
        <f ca="1">IF(ISBLANK(INDIRECT(ADDRESS(K37*2+2,3))),"",INDIRECT(ADDRESS(K37*2+2,3)))</f>
        <v>Дубовицкий Игорь</v>
      </c>
      <c r="I37" s="141"/>
      <c r="J37" s="141"/>
      <c r="K37" s="53">
        <v>3</v>
      </c>
      <c r="L37" s="56" t="s">
        <v>10</v>
      </c>
      <c r="M37" s="73">
        <v>4</v>
      </c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Дубовицкий Игорь</v>
      </c>
      <c r="D40" s="141"/>
      <c r="E40" s="142"/>
      <c r="F40" s="54">
        <v>13</v>
      </c>
      <c r="G40" s="55">
        <v>4</v>
      </c>
      <c r="H40" s="143" t="str">
        <f ca="1">IF(ISBLANK(INDIRECT(ADDRESS(K40*2+2,3))),"",INDIRECT(ADDRESS(K40*2+2,3)))</f>
        <v>Тюнин Иван</v>
      </c>
      <c r="I40" s="141"/>
      <c r="J40" s="141"/>
      <c r="K40" s="53">
        <v>6</v>
      </c>
      <c r="L40" s="56" t="s">
        <v>10</v>
      </c>
      <c r="M40" s="73">
        <v>1</v>
      </c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Ницинский Станислав</v>
      </c>
      <c r="D41" s="141"/>
      <c r="E41" s="142"/>
      <c r="F41" s="54">
        <v>13</v>
      </c>
      <c r="G41" s="55">
        <v>9</v>
      </c>
      <c r="H41" s="143" t="str">
        <f ca="1">IF(ISBLANK(INDIRECT(ADDRESS(K41*2+2,3))),"",INDIRECT(ADDRESS(K41*2+2,3)))</f>
        <v>Глуховский Аркадий</v>
      </c>
      <c r="I41" s="141"/>
      <c r="J41" s="141"/>
      <c r="K41" s="53">
        <v>2</v>
      </c>
      <c r="L41" s="56" t="s">
        <v>10</v>
      </c>
      <c r="M41" s="73">
        <v>2</v>
      </c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Волков Денис</v>
      </c>
      <c r="D42" s="141"/>
      <c r="E42" s="142"/>
      <c r="F42" s="54">
        <v>9</v>
      </c>
      <c r="G42" s="55">
        <v>13</v>
      </c>
      <c r="H42" s="143" t="str">
        <f ca="1">IF(ISBLANK(INDIRECT(ADDRESS(K42*2+2,3))),"",INDIRECT(ADDRESS(K42*2+2,3)))</f>
        <v>Петрушко Алексей</v>
      </c>
      <c r="I42" s="141"/>
      <c r="J42" s="141"/>
      <c r="K42" s="53">
        <v>1</v>
      </c>
      <c r="L42" s="56" t="s">
        <v>10</v>
      </c>
      <c r="M42" s="73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6" sqref="C6:E7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100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 t="s">
        <v>110</v>
      </c>
      <c r="N1" s="46">
        <v>45682</v>
      </c>
    </row>
    <row r="2" spans="2:14" ht="15.75" thickBot="1" x14ac:dyDescent="0.3">
      <c r="M2"/>
    </row>
    <row r="3" spans="2:14" ht="30" customHeight="1" thickBot="1" x14ac:dyDescent="0.3">
      <c r="B3" s="72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64" t="s">
        <v>111</v>
      </c>
      <c r="D4" s="165"/>
      <c r="E4" s="166"/>
      <c r="F4" s="10" t="s">
        <v>30</v>
      </c>
      <c r="G4" s="6" t="str">
        <f ca="1">INDIRECT(ADDRESS(27,6))&amp;":"&amp;INDIRECT(ADDRESS(27,7))</f>
        <v>13:8</v>
      </c>
      <c r="H4" s="6" t="str">
        <f ca="1">INDIRECT(ADDRESS(31,7))&amp;":"&amp;INDIRECT(ADDRESS(31,6))</f>
        <v>9:13</v>
      </c>
      <c r="I4" s="6" t="str">
        <f ca="1">INDIRECT(ADDRESS(36,6))&amp;":"&amp;INDIRECT(ADDRESS(36,7))</f>
        <v>13:7</v>
      </c>
      <c r="J4" s="6" t="str">
        <f ca="1">INDIRECT(ADDRESS(42,7))&amp;":"&amp;INDIRECT(ADDRESS(42,6))</f>
        <v>13:10</v>
      </c>
      <c r="K4" s="20" t="str">
        <f ca="1">INDIRECT(ADDRESS(20,6))&amp;":"&amp;INDIRECT(ADDRESS(20,7))</f>
        <v>13:11</v>
      </c>
      <c r="L4" s="151">
        <f ca="1">IF(COUNT(F5:K5)=0,"",COUNTIF(F5:K5,"&gt;0")+0.5*COUNTIF(F5:K5,0))</f>
        <v>4</v>
      </c>
      <c r="M4" s="23"/>
      <c r="N4" s="88">
        <v>2</v>
      </c>
    </row>
    <row r="5" spans="2:14" ht="24" customHeight="1" x14ac:dyDescent="0.25">
      <c r="B5" s="95"/>
      <c r="C5" s="105"/>
      <c r="D5" s="106"/>
      <c r="E5" s="107"/>
      <c r="F5" s="13" t="s">
        <v>30</v>
      </c>
      <c r="G5" s="16">
        <f ca="1">IF(LEN(INDIRECT(ADDRESS(ROW()-1, COLUMN())))=1,"",INDIRECT(ADDRESS(27,6))-INDIRECT(ADDRESS(27,7)))</f>
        <v>5</v>
      </c>
      <c r="H5" s="16">
        <f ca="1">IF(LEN(INDIRECT(ADDRESS(ROW()-1, COLUMN())))=1,"",INDIRECT(ADDRESS(31,7))-INDIRECT(ADDRESS(31,6)))</f>
        <v>-4</v>
      </c>
      <c r="I5" s="16">
        <f ca="1">IF(LEN(INDIRECT(ADDRESS(ROW()-1, COLUMN())))=1,"",INDIRECT(ADDRESS(36,6))-INDIRECT(ADDRESS(36,7)))</f>
        <v>6</v>
      </c>
      <c r="J5" s="16">
        <f ca="1">IF(LEN(INDIRECT(ADDRESS(ROW()-1, COLUMN())))=1,"",INDIRECT(ADDRESS(42,7))-INDIRECT(ADDRESS(42,6)))</f>
        <v>3</v>
      </c>
      <c r="K5" s="17">
        <f ca="1">IF(LEN(INDIRECT(ADDRESS(ROW()-1, COLUMN())))=1,"",INDIRECT(ADDRESS(20,6))-INDIRECT(ADDRESS(20,7)))</f>
        <v>2</v>
      </c>
      <c r="L5" s="144"/>
      <c r="M5" s="16">
        <f ca="1">IF(COUNT(F5:K5)=0,"",SUM(F5:K5))</f>
        <v>12</v>
      </c>
      <c r="N5" s="89"/>
    </row>
    <row r="6" spans="2:14" ht="24" customHeight="1" x14ac:dyDescent="0.25">
      <c r="B6" s="104">
        <v>2</v>
      </c>
      <c r="C6" s="126" t="s">
        <v>112</v>
      </c>
      <c r="D6" s="127"/>
      <c r="E6" s="128"/>
      <c r="F6" s="12" t="str">
        <f ca="1">INDIRECT(ADDRESS(27,7))&amp;":"&amp;INDIRECT(ADDRESS(27,6))</f>
        <v>8:13</v>
      </c>
      <c r="G6" s="8" t="s">
        <v>30</v>
      </c>
      <c r="H6" s="7" t="str">
        <f ca="1">INDIRECT(ADDRESS(37,6))&amp;":"&amp;INDIRECT(ADDRESS(37,7))</f>
        <v>3:13</v>
      </c>
      <c r="I6" s="7" t="str">
        <f ca="1">INDIRECT(ADDRESS(41,7))&amp;":"&amp;INDIRECT(ADDRESS(41,6))</f>
        <v>13:7</v>
      </c>
      <c r="J6" s="7" t="str">
        <f ca="1">INDIRECT(ADDRESS(21,6))&amp;":"&amp;INDIRECT(ADDRESS(21,7))</f>
        <v>13:8</v>
      </c>
      <c r="K6" s="11" t="str">
        <f ca="1">INDIRECT(ADDRESS(30,6))&amp;":"&amp;INDIRECT(ADDRESS(30,7))</f>
        <v>9:10</v>
      </c>
      <c r="L6" s="144">
        <f ca="1">IF(COUNT(F7:K7)=0,"",COUNTIF(F7:K7,"&gt;0")+0.5*COUNTIF(F7:K7,0))</f>
        <v>2</v>
      </c>
      <c r="M6" s="16">
        <v>4</v>
      </c>
      <c r="N6" s="110">
        <v>3</v>
      </c>
    </row>
    <row r="7" spans="2:14" ht="24" customHeight="1" x14ac:dyDescent="0.25">
      <c r="B7" s="95"/>
      <c r="C7" s="126"/>
      <c r="D7" s="127"/>
      <c r="E7" s="128"/>
      <c r="F7" s="22">
        <f ca="1">IF(LEN(INDIRECT(ADDRESS(ROW()-1, COLUMN())))=1,"",INDIRECT(ADDRESS(27,7))-INDIRECT(ADDRESS(27,6)))</f>
        <v>-5</v>
      </c>
      <c r="G7" s="14" t="s">
        <v>30</v>
      </c>
      <c r="H7" s="16">
        <f ca="1">IF(LEN(INDIRECT(ADDRESS(ROW()-1, COLUMN())))=1,"",INDIRECT(ADDRESS(37,6))-INDIRECT(ADDRESS(37,7)))</f>
        <v>-10</v>
      </c>
      <c r="I7" s="16">
        <f ca="1">IF(LEN(INDIRECT(ADDRESS(ROW()-1, COLUMN())))=1,"",INDIRECT(ADDRESS(41,7))-INDIRECT(ADDRESS(41,6)))</f>
        <v>6</v>
      </c>
      <c r="J7" s="16">
        <f ca="1">IF(LEN(INDIRECT(ADDRESS(ROW()-1, COLUMN())))=1,"",INDIRECT(ADDRESS(21,6))-INDIRECT(ADDRESS(21,7)))</f>
        <v>5</v>
      </c>
      <c r="K7" s="17">
        <f ca="1">IF(LEN(INDIRECT(ADDRESS(ROW()-1, COLUMN())))=1,"",INDIRECT(ADDRESS(30,6))-INDIRECT(ADDRESS(30,7)))</f>
        <v>-1</v>
      </c>
      <c r="L7" s="144"/>
      <c r="M7" s="16">
        <f ca="1">IF(COUNT(F7:K7)=0,"",SUM(F7:K7))</f>
        <v>-5</v>
      </c>
      <c r="N7" s="89"/>
    </row>
    <row r="8" spans="2:14" ht="24" customHeight="1" x14ac:dyDescent="0.25">
      <c r="B8" s="104">
        <v>3</v>
      </c>
      <c r="C8" s="105" t="s">
        <v>113</v>
      </c>
      <c r="D8" s="106"/>
      <c r="E8" s="107"/>
      <c r="F8" s="12" t="str">
        <f ca="1">INDIRECT(ADDRESS(31,6))&amp;":"&amp;INDIRECT(ADDRESS(31,7))</f>
        <v>13:9</v>
      </c>
      <c r="G8" s="7" t="str">
        <f ca="1">INDIRECT(ADDRESS(37,7))&amp;":"&amp;INDIRECT(ADDRESS(37,6))</f>
        <v>13:3</v>
      </c>
      <c r="H8" s="8" t="s">
        <v>30</v>
      </c>
      <c r="I8" s="7" t="str">
        <f ca="1">INDIRECT(ADDRESS(22,6))&amp;":"&amp;INDIRECT(ADDRESS(22,7))</f>
        <v>12:10</v>
      </c>
      <c r="J8" s="7" t="str">
        <f ca="1">INDIRECT(ADDRESS(26,7))&amp;":"&amp;INDIRECT(ADDRESS(26,6))</f>
        <v>13:4</v>
      </c>
      <c r="K8" s="11" t="str">
        <f ca="1">INDIRECT(ADDRESS(40,6))&amp;":"&amp;INDIRECT(ADDRESS(40,7))</f>
        <v>10:13</v>
      </c>
      <c r="L8" s="144">
        <f ca="1">IF(COUNT(F9:K9)=0,"",COUNTIF(F9:K9,"&gt;0")+0.5*COUNTIF(F9:K9,0))</f>
        <v>4</v>
      </c>
      <c r="M8" s="16"/>
      <c r="N8" s="110">
        <v>1</v>
      </c>
    </row>
    <row r="9" spans="2:14" ht="24" customHeight="1" x14ac:dyDescent="0.25">
      <c r="B9" s="95"/>
      <c r="C9" s="105"/>
      <c r="D9" s="106"/>
      <c r="E9" s="107"/>
      <c r="F9" s="22">
        <f ca="1">IF(LEN(INDIRECT(ADDRESS(ROW()-1, COLUMN())))=1,"",INDIRECT(ADDRESS(31,6))-INDIRECT(ADDRESS(31,7)))</f>
        <v>4</v>
      </c>
      <c r="G9" s="16">
        <f ca="1">IF(LEN(INDIRECT(ADDRESS(ROW()-1, COLUMN())))=1,"",INDIRECT(ADDRESS(37,7))-INDIRECT(ADDRESS(37,6)))</f>
        <v>10</v>
      </c>
      <c r="H9" s="14" t="s">
        <v>30</v>
      </c>
      <c r="I9" s="16">
        <f ca="1">IF(LEN(INDIRECT(ADDRESS(ROW()-1, COLUMN())))=1,"",INDIRECT(ADDRESS(22,6))-INDIRECT(ADDRESS(22,7)))</f>
        <v>2</v>
      </c>
      <c r="J9" s="16">
        <f ca="1">IF(LEN(INDIRECT(ADDRESS(ROW()-1, COLUMN())))=1,"",INDIRECT(ADDRESS(26,7))-INDIRECT(ADDRESS(26,6)))</f>
        <v>9</v>
      </c>
      <c r="K9" s="17">
        <f ca="1">IF(LEN(INDIRECT(ADDRESS(ROW()-1, COLUMN())))=1,"",INDIRECT(ADDRESS(40,6))-INDIRECT(ADDRESS(40,7)))</f>
        <v>-3</v>
      </c>
      <c r="L9" s="144"/>
      <c r="M9" s="16">
        <f ca="1">IF(COUNT(F9:K9)=0,"",SUM(F9:K9))</f>
        <v>22</v>
      </c>
      <c r="N9" s="89"/>
    </row>
    <row r="10" spans="2:14" ht="24" customHeight="1" x14ac:dyDescent="0.25">
      <c r="B10" s="104">
        <v>4</v>
      </c>
      <c r="C10" s="99" t="s">
        <v>114</v>
      </c>
      <c r="D10" s="100"/>
      <c r="E10" s="101"/>
      <c r="F10" s="12" t="str">
        <f ca="1">INDIRECT(ADDRESS(36,7))&amp;":"&amp;INDIRECT(ADDRESS(36,6))</f>
        <v>7:13</v>
      </c>
      <c r="G10" s="7" t="str">
        <f ca="1">INDIRECT(ADDRESS(41,6))&amp;":"&amp;INDIRECT(ADDRESS(41,7))</f>
        <v>7:13</v>
      </c>
      <c r="H10" s="7" t="str">
        <f ca="1">INDIRECT(ADDRESS(22,7))&amp;":"&amp;INDIRECT(ADDRESS(22,6))</f>
        <v>10:12</v>
      </c>
      <c r="I10" s="8" t="s">
        <v>30</v>
      </c>
      <c r="J10" s="7" t="str">
        <f ca="1">INDIRECT(ADDRESS(32,6))&amp;":"&amp;INDIRECT(ADDRESS(32,7))</f>
        <v>8:11</v>
      </c>
      <c r="K10" s="11" t="str">
        <f ca="1">INDIRECT(ADDRESS(25,7))&amp;":"&amp;INDIRECT(ADDRESS(25,6))</f>
        <v>13:6</v>
      </c>
      <c r="L10" s="144">
        <f ca="1">IF(COUNT(F11:K11)=0,"",COUNTIF(F11:K11,"&gt;0")+0.5*COUNTIF(F11:K11,0))</f>
        <v>1</v>
      </c>
      <c r="M10" s="16"/>
      <c r="N10" s="110">
        <v>6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-6</v>
      </c>
      <c r="G11" s="16">
        <f ca="1">IF(LEN(INDIRECT(ADDRESS(ROW()-1, COLUMN())))=1,"",INDIRECT(ADDRESS(41,6))-INDIRECT(ADDRESS(41,7)))</f>
        <v>-6</v>
      </c>
      <c r="H11" s="16">
        <f ca="1">IF(LEN(INDIRECT(ADDRESS(ROW()-1, COLUMN())))=1,"",INDIRECT(ADDRESS(22,7))-INDIRECT(ADDRESS(22,6)))</f>
        <v>-2</v>
      </c>
      <c r="I11" s="14" t="s">
        <v>30</v>
      </c>
      <c r="J11" s="16">
        <f ca="1">IF(LEN(INDIRECT(ADDRESS(ROW()-1, COLUMN())))=1,"",INDIRECT(ADDRESS(32,6))-INDIRECT(ADDRESS(32,7)))</f>
        <v>-3</v>
      </c>
      <c r="K11" s="17">
        <f ca="1">IF(LEN(INDIRECT(ADDRESS(ROW()-1, COLUMN())))=1,"",INDIRECT(ADDRESS(25,7))-INDIRECT(ADDRESS(25,6)))</f>
        <v>7</v>
      </c>
      <c r="L11" s="144"/>
      <c r="M11" s="16">
        <f ca="1">IF(COUNT(F11:K11)=0,"",SUM(F11:K11))</f>
        <v>-10</v>
      </c>
      <c r="N11" s="89"/>
    </row>
    <row r="12" spans="2:14" ht="24" customHeight="1" x14ac:dyDescent="0.25">
      <c r="B12" s="104">
        <v>5</v>
      </c>
      <c r="C12" s="99" t="s">
        <v>115</v>
      </c>
      <c r="D12" s="100"/>
      <c r="E12" s="101"/>
      <c r="F12" s="12" t="str">
        <f ca="1">INDIRECT(ADDRESS(42,6))&amp;":"&amp;INDIRECT(ADDRESS(42,7))</f>
        <v>10:13</v>
      </c>
      <c r="G12" s="7" t="str">
        <f ca="1">INDIRECT(ADDRESS(21,7))&amp;":"&amp;INDIRECT(ADDRESS(21,6))</f>
        <v>8:13</v>
      </c>
      <c r="H12" s="7" t="str">
        <f ca="1">INDIRECT(ADDRESS(26,6))&amp;":"&amp;INDIRECT(ADDRESS(26,7))</f>
        <v>4:13</v>
      </c>
      <c r="I12" s="7" t="str">
        <f ca="1">INDIRECT(ADDRESS(32,7))&amp;":"&amp;INDIRECT(ADDRESS(32,6))</f>
        <v>11:8</v>
      </c>
      <c r="J12" s="8" t="s">
        <v>30</v>
      </c>
      <c r="K12" s="11" t="str">
        <f ca="1">INDIRECT(ADDRESS(35,7))&amp;":"&amp;INDIRECT(ADDRESS(35,6))</f>
        <v>13:7</v>
      </c>
      <c r="L12" s="144">
        <f ca="1">IF(COUNT(F13:K13)=0,"",COUNTIF(F13:K13,"&gt;0")+0.5*COUNTIF(F13:K13,0))</f>
        <v>2</v>
      </c>
      <c r="M12" s="16">
        <v>1</v>
      </c>
      <c r="N12" s="110">
        <v>4</v>
      </c>
    </row>
    <row r="13" spans="2:14" ht="24" customHeight="1" x14ac:dyDescent="0.25">
      <c r="B13" s="95"/>
      <c r="C13" s="99"/>
      <c r="D13" s="100"/>
      <c r="E13" s="101"/>
      <c r="F13" s="22">
        <f ca="1">IF(LEN(INDIRECT(ADDRESS(ROW()-1, COLUMN())))=1,"",INDIRECT(ADDRESS(42,6))-INDIRECT(ADDRESS(42,7)))</f>
        <v>-3</v>
      </c>
      <c r="G13" s="16">
        <f ca="1">IF(LEN(INDIRECT(ADDRESS(ROW()-1, COLUMN())))=1,"",INDIRECT(ADDRESS(21,7))-INDIRECT(ADDRESS(21,6)))</f>
        <v>-5</v>
      </c>
      <c r="H13" s="16">
        <f ca="1">IF(LEN(INDIRECT(ADDRESS(ROW()-1, COLUMN())))=1,"",INDIRECT(ADDRESS(26,6))-INDIRECT(ADDRESS(26,7)))</f>
        <v>-9</v>
      </c>
      <c r="I13" s="16">
        <f ca="1">IF(LEN(INDIRECT(ADDRESS(ROW()-1, COLUMN())))=1,"",INDIRECT(ADDRESS(32,7))-INDIRECT(ADDRESS(32,6)))</f>
        <v>3</v>
      </c>
      <c r="J13" s="14" t="s">
        <v>30</v>
      </c>
      <c r="K13" s="17">
        <f ca="1">IF(LEN(INDIRECT(ADDRESS(ROW()-1, COLUMN())))=1,"",INDIRECT(ADDRESS(35,7))-INDIRECT(ADDRESS(35,6)))</f>
        <v>6</v>
      </c>
      <c r="L13" s="144"/>
      <c r="M13" s="16">
        <f ca="1">IF(COUNT(F13:K13)=0,"",SUM(F13:K13))</f>
        <v>-8</v>
      </c>
      <c r="N13" s="89"/>
    </row>
    <row r="14" spans="2:14" ht="24" customHeight="1" x14ac:dyDescent="0.25">
      <c r="B14" s="104">
        <v>6</v>
      </c>
      <c r="C14" s="99" t="s">
        <v>116</v>
      </c>
      <c r="D14" s="100"/>
      <c r="E14" s="101"/>
      <c r="F14" s="12" t="str">
        <f ca="1">INDIRECT(ADDRESS(20,7))&amp;":"&amp;INDIRECT(ADDRESS(20,6))</f>
        <v>11:13</v>
      </c>
      <c r="G14" s="7" t="str">
        <f ca="1">INDIRECT(ADDRESS(30,7))&amp;":"&amp;INDIRECT(ADDRESS(30,6))</f>
        <v>10:9</v>
      </c>
      <c r="H14" s="7" t="str">
        <f ca="1">INDIRECT(ADDRESS(40,7))&amp;":"&amp;INDIRECT(ADDRESS(40,6))</f>
        <v>13:10</v>
      </c>
      <c r="I14" s="7" t="str">
        <f ca="1">INDIRECT(ADDRESS(25,6))&amp;":"&amp;INDIRECT(ADDRESS(25,7))</f>
        <v>6:13</v>
      </c>
      <c r="J14" s="7" t="str">
        <f ca="1">INDIRECT(ADDRESS(35,6))&amp;":"&amp;INDIRECT(ADDRESS(35,7))</f>
        <v>7:13</v>
      </c>
      <c r="K14" s="50" t="s">
        <v>30</v>
      </c>
      <c r="L14" s="144">
        <f ca="1">IF(COUNT(F15:K15)=0,"",COUNTIF(F15:K15,"&gt;0")+0.5*COUNTIF(F15:K15,0))</f>
        <v>2</v>
      </c>
      <c r="M14" s="16">
        <v>-5</v>
      </c>
      <c r="N14" s="110">
        <v>5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-2</v>
      </c>
      <c r="G15" s="18">
        <f ca="1">IF(LEN(INDIRECT(ADDRESS(ROW()-1, COLUMN())))=1,"",INDIRECT(ADDRESS(30,7))-INDIRECT(ADDRESS(30,6)))</f>
        <v>1</v>
      </c>
      <c r="H15" s="18">
        <f ca="1">IF(LEN(INDIRECT(ADDRESS(ROW()-1, COLUMN())))=1,"",INDIRECT(ADDRESS(40,7))-INDIRECT(ADDRESS(40,6)))</f>
        <v>3</v>
      </c>
      <c r="I15" s="18">
        <f ca="1">IF(LEN(INDIRECT(ADDRESS(ROW()-1, COLUMN())))=1,"",INDIRECT(ADDRESS(25,6))-INDIRECT(ADDRESS(25,7)))</f>
        <v>-7</v>
      </c>
      <c r="J15" s="18">
        <f ca="1">IF(LEN(INDIRECT(ADDRESS(ROW()-1, COLUMN())))=1,"",INDIRECT(ADDRESS(35,6))-INDIRECT(ADDRESS(35,7)))</f>
        <v>-6</v>
      </c>
      <c r="K15" s="15" t="s">
        <v>30</v>
      </c>
      <c r="L15" s="145"/>
      <c r="M15" s="18">
        <f ca="1">IF(COUNT(F15:K15)=0,"",SUM(F15:K15))</f>
        <v>-11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Каргашин Илья</v>
      </c>
      <c r="D20" s="141"/>
      <c r="E20" s="142"/>
      <c r="F20" s="54">
        <v>13</v>
      </c>
      <c r="G20" s="55">
        <v>11</v>
      </c>
      <c r="H20" s="143" t="str">
        <f ca="1">IF(ISBLANK(INDIRECT(ADDRESS(K20*2+2,3))),"",INDIRECT(ADDRESS(K20*2+2,3)))</f>
        <v>Майсов Антон</v>
      </c>
      <c r="I20" s="141"/>
      <c r="J20" s="141"/>
      <c r="K20" s="53">
        <v>6</v>
      </c>
      <c r="L20" s="56" t="s">
        <v>10</v>
      </c>
      <c r="M20" s="73">
        <v>1</v>
      </c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Ли Александр</v>
      </c>
      <c r="D21" s="141"/>
      <c r="E21" s="142"/>
      <c r="F21" s="54">
        <v>13</v>
      </c>
      <c r="G21" s="55">
        <v>8</v>
      </c>
      <c r="H21" s="143" t="str">
        <f ca="1">IF(ISBLANK(INDIRECT(ADDRESS(K21*2+2,3))),"",INDIRECT(ADDRESS(K21*2+2,3)))</f>
        <v>Чашин Василий</v>
      </c>
      <c r="I21" s="141"/>
      <c r="J21" s="141"/>
      <c r="K21" s="53">
        <v>5</v>
      </c>
      <c r="L21" s="56" t="s">
        <v>10</v>
      </c>
      <c r="M21" s="73">
        <v>2</v>
      </c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Воронов Олег</v>
      </c>
      <c r="D22" s="141"/>
      <c r="E22" s="142"/>
      <c r="F22" s="54">
        <v>12</v>
      </c>
      <c r="G22" s="55">
        <v>10</v>
      </c>
      <c r="H22" s="143" t="str">
        <f ca="1">IF(ISBLANK(INDIRECT(ADDRESS(K22*2+2,3))),"",INDIRECT(ADDRESS(K22*2+2,3)))</f>
        <v>Кравцов Владимир</v>
      </c>
      <c r="I22" s="141"/>
      <c r="J22" s="141"/>
      <c r="K22" s="53">
        <v>4</v>
      </c>
      <c r="L22" s="56" t="s">
        <v>10</v>
      </c>
      <c r="M22" s="73">
        <v>3</v>
      </c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Майсов Антон</v>
      </c>
      <c r="D25" s="141"/>
      <c r="E25" s="142"/>
      <c r="F25" s="54">
        <v>6</v>
      </c>
      <c r="G25" s="55">
        <v>13</v>
      </c>
      <c r="H25" s="143" t="str">
        <f ca="1">IF(ISBLANK(INDIRECT(ADDRESS(K25*2+2,3))),"",INDIRECT(ADDRESS(K25*2+2,3)))</f>
        <v>Кравцов Владимир</v>
      </c>
      <c r="I25" s="141"/>
      <c r="J25" s="141"/>
      <c r="K25" s="53">
        <v>4</v>
      </c>
      <c r="L25" s="56" t="s">
        <v>10</v>
      </c>
      <c r="M25" s="73">
        <v>4</v>
      </c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Чашин Василий</v>
      </c>
      <c r="D26" s="141"/>
      <c r="E26" s="142"/>
      <c r="F26" s="54">
        <v>4</v>
      </c>
      <c r="G26" s="55">
        <v>13</v>
      </c>
      <c r="H26" s="143" t="str">
        <f ca="1">IF(ISBLANK(INDIRECT(ADDRESS(K26*2+2,3))),"",INDIRECT(ADDRESS(K26*2+2,3)))</f>
        <v>Воронов Олег</v>
      </c>
      <c r="I26" s="141"/>
      <c r="J26" s="141"/>
      <c r="K26" s="53">
        <v>3</v>
      </c>
      <c r="L26" s="56" t="s">
        <v>10</v>
      </c>
      <c r="M26" s="73">
        <v>5</v>
      </c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Каргашин Илья</v>
      </c>
      <c r="D27" s="141"/>
      <c r="E27" s="142"/>
      <c r="F27" s="54">
        <v>13</v>
      </c>
      <c r="G27" s="55">
        <v>8</v>
      </c>
      <c r="H27" s="143" t="str">
        <f ca="1">IF(ISBLANK(INDIRECT(ADDRESS(K27*2+2,3))),"",INDIRECT(ADDRESS(K27*2+2,3)))</f>
        <v>Ли Александр</v>
      </c>
      <c r="I27" s="141"/>
      <c r="J27" s="141"/>
      <c r="K27" s="53">
        <v>2</v>
      </c>
      <c r="L27" s="56" t="s">
        <v>10</v>
      </c>
      <c r="M27" s="73">
        <v>6</v>
      </c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Ли Александр</v>
      </c>
      <c r="D30" s="141"/>
      <c r="E30" s="142"/>
      <c r="F30" s="54">
        <v>9</v>
      </c>
      <c r="G30" s="55">
        <v>10</v>
      </c>
      <c r="H30" s="143" t="str">
        <f ca="1">IF(ISBLANK(INDIRECT(ADDRESS(K30*2+2,3))),"",INDIRECT(ADDRESS(K30*2+2,3)))</f>
        <v>Майсов Антон</v>
      </c>
      <c r="I30" s="141"/>
      <c r="J30" s="141"/>
      <c r="K30" s="53">
        <v>6</v>
      </c>
      <c r="L30" s="56" t="s">
        <v>10</v>
      </c>
      <c r="M30" s="73">
        <v>3</v>
      </c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Воронов Олег</v>
      </c>
      <c r="D31" s="141"/>
      <c r="E31" s="142"/>
      <c r="F31" s="54">
        <v>13</v>
      </c>
      <c r="G31" s="55">
        <v>9</v>
      </c>
      <c r="H31" s="143" t="str">
        <f ca="1">IF(ISBLANK(INDIRECT(ADDRESS(K31*2+2,3))),"",INDIRECT(ADDRESS(K31*2+2,3)))</f>
        <v>Каргашин Илья</v>
      </c>
      <c r="I31" s="141"/>
      <c r="J31" s="141"/>
      <c r="K31" s="53">
        <v>1</v>
      </c>
      <c r="L31" s="56" t="s">
        <v>10</v>
      </c>
      <c r="M31" s="73">
        <v>2</v>
      </c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Кравцов Владимир</v>
      </c>
      <c r="D32" s="141"/>
      <c r="E32" s="142"/>
      <c r="F32" s="54">
        <v>8</v>
      </c>
      <c r="G32" s="55">
        <v>11</v>
      </c>
      <c r="H32" s="143" t="str">
        <f ca="1">IF(ISBLANK(INDIRECT(ADDRESS(K32*2+2,3))),"",INDIRECT(ADDRESS(K32*2+2,3)))</f>
        <v>Чашин Василий</v>
      </c>
      <c r="I32" s="141"/>
      <c r="J32" s="141"/>
      <c r="K32" s="53">
        <v>5</v>
      </c>
      <c r="L32" s="56" t="s">
        <v>10</v>
      </c>
      <c r="M32" s="73">
        <v>1</v>
      </c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Майсов Антон</v>
      </c>
      <c r="D35" s="141"/>
      <c r="E35" s="142"/>
      <c r="F35" s="54">
        <v>7</v>
      </c>
      <c r="G35" s="55">
        <v>13</v>
      </c>
      <c r="H35" s="143" t="str">
        <f ca="1">IF(ISBLANK(INDIRECT(ADDRESS(K35*2+2,3))),"",INDIRECT(ADDRESS(K35*2+2,3)))</f>
        <v>Чашин Василий</v>
      </c>
      <c r="I35" s="141"/>
      <c r="J35" s="141"/>
      <c r="K35" s="53">
        <v>5</v>
      </c>
      <c r="L35" s="56" t="s">
        <v>10</v>
      </c>
      <c r="M35" s="73">
        <v>6</v>
      </c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Каргашин Илья</v>
      </c>
      <c r="D36" s="141"/>
      <c r="E36" s="142"/>
      <c r="F36" s="54">
        <v>13</v>
      </c>
      <c r="G36" s="55">
        <v>7</v>
      </c>
      <c r="H36" s="143" t="str">
        <f ca="1">IF(ISBLANK(INDIRECT(ADDRESS(K36*2+2,3))),"",INDIRECT(ADDRESS(K36*2+2,3)))</f>
        <v>Кравцов Владимир</v>
      </c>
      <c r="I36" s="141"/>
      <c r="J36" s="141"/>
      <c r="K36" s="53">
        <v>4</v>
      </c>
      <c r="L36" s="56" t="s">
        <v>10</v>
      </c>
      <c r="M36" s="73">
        <v>5</v>
      </c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Ли Александр</v>
      </c>
      <c r="D37" s="141"/>
      <c r="E37" s="142"/>
      <c r="F37" s="54">
        <v>3</v>
      </c>
      <c r="G37" s="55">
        <v>13</v>
      </c>
      <c r="H37" s="143" t="str">
        <f ca="1">IF(ISBLANK(INDIRECT(ADDRESS(K37*2+2,3))),"",INDIRECT(ADDRESS(K37*2+2,3)))</f>
        <v>Воронов Олег</v>
      </c>
      <c r="I37" s="141"/>
      <c r="J37" s="141"/>
      <c r="K37" s="53">
        <v>3</v>
      </c>
      <c r="L37" s="56" t="s">
        <v>10</v>
      </c>
      <c r="M37" s="73">
        <v>4</v>
      </c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Воронов Олег</v>
      </c>
      <c r="D40" s="141"/>
      <c r="E40" s="142"/>
      <c r="F40" s="54">
        <v>10</v>
      </c>
      <c r="G40" s="55">
        <v>13</v>
      </c>
      <c r="H40" s="143" t="str">
        <f ca="1">IF(ISBLANK(INDIRECT(ADDRESS(K40*2+2,3))),"",INDIRECT(ADDRESS(K40*2+2,3)))</f>
        <v>Майсов Антон</v>
      </c>
      <c r="I40" s="141"/>
      <c r="J40" s="141"/>
      <c r="K40" s="53">
        <v>6</v>
      </c>
      <c r="L40" s="56" t="s">
        <v>10</v>
      </c>
      <c r="M40" s="73">
        <v>1</v>
      </c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Кравцов Владимир</v>
      </c>
      <c r="D41" s="141"/>
      <c r="E41" s="142"/>
      <c r="F41" s="54">
        <v>7</v>
      </c>
      <c r="G41" s="55">
        <v>13</v>
      </c>
      <c r="H41" s="143" t="str">
        <f ca="1">IF(ISBLANK(INDIRECT(ADDRESS(K41*2+2,3))),"",INDIRECT(ADDRESS(K41*2+2,3)))</f>
        <v>Ли Александр</v>
      </c>
      <c r="I41" s="141"/>
      <c r="J41" s="141"/>
      <c r="K41" s="53">
        <v>2</v>
      </c>
      <c r="L41" s="56" t="s">
        <v>10</v>
      </c>
      <c r="M41" s="73">
        <v>2</v>
      </c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Чашин Василий</v>
      </c>
      <c r="D42" s="141"/>
      <c r="E42" s="142"/>
      <c r="F42" s="54">
        <v>10</v>
      </c>
      <c r="G42" s="55">
        <v>13</v>
      </c>
      <c r="H42" s="143" t="str">
        <f ca="1">IF(ISBLANK(INDIRECT(ADDRESS(K42*2+2,3))),"",INDIRECT(ADDRESS(K42*2+2,3)))</f>
        <v>Каргашин Илья</v>
      </c>
      <c r="I42" s="141"/>
      <c r="J42" s="141"/>
      <c r="K42" s="53">
        <v>1</v>
      </c>
      <c r="L42" s="56" t="s">
        <v>10</v>
      </c>
      <c r="M42" s="73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4" sqref="C4:E5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3" customHeight="1" x14ac:dyDescent="0.25">
      <c r="B1" s="147" t="s">
        <v>101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 t="s">
        <v>109</v>
      </c>
      <c r="N1" s="46">
        <v>45683</v>
      </c>
    </row>
    <row r="2" spans="2:14" ht="9" customHeight="1" thickBot="1" x14ac:dyDescent="0.3">
      <c r="M2"/>
    </row>
    <row r="3" spans="2:14" ht="30" customHeight="1" thickBot="1" x14ac:dyDescent="0.3">
      <c r="B3" s="72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148" t="s">
        <v>117</v>
      </c>
      <c r="D4" s="149"/>
      <c r="E4" s="150"/>
      <c r="F4" s="10" t="s">
        <v>30</v>
      </c>
      <c r="G4" s="6" t="str">
        <f ca="1">INDIRECT(ADDRESS(27,6))&amp;":"&amp;INDIRECT(ADDRESS(27,7))</f>
        <v>5:13</v>
      </c>
      <c r="H4" s="6" t="str">
        <f ca="1">INDIRECT(ADDRESS(31,7))&amp;":"&amp;INDIRECT(ADDRESS(31,6))</f>
        <v>13:8</v>
      </c>
      <c r="I4" s="6" t="str">
        <f ca="1">INDIRECT(ADDRESS(36,6))&amp;":"&amp;INDIRECT(ADDRESS(36,7))</f>
        <v>13:1</v>
      </c>
      <c r="J4" s="6" t="str">
        <f ca="1">INDIRECT(ADDRESS(42,7))&amp;":"&amp;INDIRECT(ADDRESS(42,6))</f>
        <v>10:13</v>
      </c>
      <c r="K4" s="20" t="str">
        <f ca="1">INDIRECT(ADDRESS(20,6))&amp;":"&amp;INDIRECT(ADDRESS(20,7))</f>
        <v>6:13</v>
      </c>
      <c r="L4" s="151">
        <f ca="1">IF(COUNT(F5:K5)=0,"",COUNTIF(F5:K5,"&gt;0")+0.5*COUNTIF(F5:K5,0))</f>
        <v>2</v>
      </c>
      <c r="M4" s="23"/>
      <c r="N4" s="88">
        <v>3</v>
      </c>
    </row>
    <row r="5" spans="2:14" ht="24" customHeight="1" x14ac:dyDescent="0.25">
      <c r="B5" s="95"/>
      <c r="C5" s="126"/>
      <c r="D5" s="127"/>
      <c r="E5" s="128"/>
      <c r="F5" s="13" t="s">
        <v>30</v>
      </c>
      <c r="G5" s="16">
        <f ca="1">IF(LEN(INDIRECT(ADDRESS(ROW()-1, COLUMN())))=1,"",INDIRECT(ADDRESS(27,6))-INDIRECT(ADDRESS(27,7)))</f>
        <v>-8</v>
      </c>
      <c r="H5" s="16">
        <f ca="1">IF(LEN(INDIRECT(ADDRESS(ROW()-1, COLUMN())))=1,"",INDIRECT(ADDRESS(31,7))-INDIRECT(ADDRESS(31,6)))</f>
        <v>5</v>
      </c>
      <c r="I5" s="16">
        <f ca="1">IF(LEN(INDIRECT(ADDRESS(ROW()-1, COLUMN())))=1,"",INDIRECT(ADDRESS(36,6))-INDIRECT(ADDRESS(36,7)))</f>
        <v>12</v>
      </c>
      <c r="J5" s="16">
        <f ca="1">IF(LEN(INDIRECT(ADDRESS(ROW()-1, COLUMN())))=1,"",INDIRECT(ADDRESS(42,7))-INDIRECT(ADDRESS(42,6)))</f>
        <v>-3</v>
      </c>
      <c r="K5" s="17">
        <f ca="1">IF(LEN(INDIRECT(ADDRESS(ROW()-1, COLUMN())))=1,"",INDIRECT(ADDRESS(20,6))-INDIRECT(ADDRESS(20,7)))</f>
        <v>-7</v>
      </c>
      <c r="L5" s="144"/>
      <c r="M5" s="16">
        <f ca="1">IF(COUNT(F5:K5)=0,"",SUM(F5:K5))</f>
        <v>-1</v>
      </c>
      <c r="N5" s="89"/>
    </row>
    <row r="6" spans="2:14" ht="24" customHeight="1" x14ac:dyDescent="0.25">
      <c r="B6" s="104">
        <v>2</v>
      </c>
      <c r="C6" s="105" t="s">
        <v>118</v>
      </c>
      <c r="D6" s="106"/>
      <c r="E6" s="107"/>
      <c r="F6" s="12" t="str">
        <f ca="1">INDIRECT(ADDRESS(27,7))&amp;":"&amp;INDIRECT(ADDRESS(27,6))</f>
        <v>13:5</v>
      </c>
      <c r="G6" s="8" t="s">
        <v>30</v>
      </c>
      <c r="H6" s="7" t="str">
        <f ca="1">INDIRECT(ADDRESS(37,6))&amp;":"&amp;INDIRECT(ADDRESS(37,7))</f>
        <v>13:12</v>
      </c>
      <c r="I6" s="7" t="str">
        <f ca="1">INDIRECT(ADDRESS(41,7))&amp;":"&amp;INDIRECT(ADDRESS(41,6))</f>
        <v>13:4</v>
      </c>
      <c r="J6" s="7" t="str">
        <f ca="1">INDIRECT(ADDRESS(21,6))&amp;":"&amp;INDIRECT(ADDRESS(21,7))</f>
        <v>6:13</v>
      </c>
      <c r="K6" s="11" t="str">
        <f ca="1">INDIRECT(ADDRESS(30,6))&amp;":"&amp;INDIRECT(ADDRESS(30,7))</f>
        <v>13:7</v>
      </c>
      <c r="L6" s="144">
        <f ca="1">IF(COUNT(F7:K7)=0,"",COUNTIF(F7:K7,"&gt;0")+0.5*COUNTIF(F7:K7,0))</f>
        <v>4</v>
      </c>
      <c r="M6" s="16"/>
      <c r="N6" s="110">
        <v>1</v>
      </c>
    </row>
    <row r="7" spans="2:14" ht="24" customHeight="1" x14ac:dyDescent="0.25">
      <c r="B7" s="95"/>
      <c r="C7" s="105"/>
      <c r="D7" s="106"/>
      <c r="E7" s="107"/>
      <c r="F7" s="22">
        <f ca="1">IF(LEN(INDIRECT(ADDRESS(ROW()-1, COLUMN())))=1,"",INDIRECT(ADDRESS(27,7))-INDIRECT(ADDRESS(27,6)))</f>
        <v>8</v>
      </c>
      <c r="G7" s="14" t="s">
        <v>30</v>
      </c>
      <c r="H7" s="16">
        <f ca="1">IF(LEN(INDIRECT(ADDRESS(ROW()-1, COLUMN())))=1,"",INDIRECT(ADDRESS(37,6))-INDIRECT(ADDRESS(37,7)))</f>
        <v>1</v>
      </c>
      <c r="I7" s="16">
        <f ca="1">IF(LEN(INDIRECT(ADDRESS(ROW()-1, COLUMN())))=1,"",INDIRECT(ADDRESS(41,7))-INDIRECT(ADDRESS(41,6)))</f>
        <v>9</v>
      </c>
      <c r="J7" s="16">
        <f ca="1">IF(LEN(INDIRECT(ADDRESS(ROW()-1, COLUMN())))=1,"",INDIRECT(ADDRESS(21,6))-INDIRECT(ADDRESS(21,7)))</f>
        <v>-7</v>
      </c>
      <c r="K7" s="17">
        <f ca="1">IF(LEN(INDIRECT(ADDRESS(ROW()-1, COLUMN())))=1,"",INDIRECT(ADDRESS(30,6))-INDIRECT(ADDRESS(30,7)))</f>
        <v>6</v>
      </c>
      <c r="L7" s="144"/>
      <c r="M7" s="16">
        <f ca="1">IF(COUNT(F7:K7)=0,"",SUM(F7:K7))</f>
        <v>17</v>
      </c>
      <c r="N7" s="89"/>
    </row>
    <row r="8" spans="2:14" ht="24" customHeight="1" x14ac:dyDescent="0.25">
      <c r="B8" s="104">
        <v>3</v>
      </c>
      <c r="C8" s="99" t="s">
        <v>119</v>
      </c>
      <c r="D8" s="100"/>
      <c r="E8" s="101"/>
      <c r="F8" s="12" t="str">
        <f ca="1">INDIRECT(ADDRESS(31,6))&amp;":"&amp;INDIRECT(ADDRESS(31,7))</f>
        <v>8:13</v>
      </c>
      <c r="G8" s="7" t="str">
        <f ca="1">INDIRECT(ADDRESS(37,7))&amp;":"&amp;INDIRECT(ADDRESS(37,6))</f>
        <v>12:13</v>
      </c>
      <c r="H8" s="8" t="s">
        <v>30</v>
      </c>
      <c r="I8" s="7" t="str">
        <f ca="1">INDIRECT(ADDRESS(22,6))&amp;":"&amp;INDIRECT(ADDRESS(22,7))</f>
        <v>12:13</v>
      </c>
      <c r="J8" s="7" t="str">
        <f ca="1">INDIRECT(ADDRESS(26,7))&amp;":"&amp;INDIRECT(ADDRESS(26,6))</f>
        <v>13:9</v>
      </c>
      <c r="K8" s="11" t="str">
        <f ca="1">INDIRECT(ADDRESS(40,6))&amp;":"&amp;INDIRECT(ADDRESS(40,7))</f>
        <v>13:9</v>
      </c>
      <c r="L8" s="144">
        <f ca="1">IF(COUNT(F9:K9)=0,"",COUNTIF(F9:K9,"&gt;0")+0.5*COUNTIF(F9:K9,0))</f>
        <v>2</v>
      </c>
      <c r="M8" s="16"/>
      <c r="N8" s="110">
        <v>5</v>
      </c>
    </row>
    <row r="9" spans="2:14" ht="24" customHeight="1" x14ac:dyDescent="0.25">
      <c r="B9" s="95"/>
      <c r="C9" s="99"/>
      <c r="D9" s="100"/>
      <c r="E9" s="101"/>
      <c r="F9" s="22">
        <f ca="1">IF(LEN(INDIRECT(ADDRESS(ROW()-1, COLUMN())))=1,"",INDIRECT(ADDRESS(31,6))-INDIRECT(ADDRESS(31,7)))</f>
        <v>-5</v>
      </c>
      <c r="G9" s="16">
        <f ca="1">IF(LEN(INDIRECT(ADDRESS(ROW()-1, COLUMN())))=1,"",INDIRECT(ADDRESS(37,7))-INDIRECT(ADDRESS(37,6)))</f>
        <v>-1</v>
      </c>
      <c r="H9" s="14" t="s">
        <v>30</v>
      </c>
      <c r="I9" s="16">
        <f ca="1">IF(LEN(INDIRECT(ADDRESS(ROW()-1, COLUMN())))=1,"",INDIRECT(ADDRESS(22,6))-INDIRECT(ADDRESS(22,7)))</f>
        <v>-1</v>
      </c>
      <c r="J9" s="16">
        <f ca="1">IF(LEN(INDIRECT(ADDRESS(ROW()-1, COLUMN())))=1,"",INDIRECT(ADDRESS(26,7))-INDIRECT(ADDRESS(26,6)))</f>
        <v>4</v>
      </c>
      <c r="K9" s="17">
        <f ca="1">IF(LEN(INDIRECT(ADDRESS(ROW()-1, COLUMN())))=1,"",INDIRECT(ADDRESS(40,6))-INDIRECT(ADDRESS(40,7)))</f>
        <v>4</v>
      </c>
      <c r="L9" s="144"/>
      <c r="M9" s="16">
        <f ca="1">IF(COUNT(F9:K9)=0,"",SUM(F9:K9))</f>
        <v>1</v>
      </c>
      <c r="N9" s="89"/>
    </row>
    <row r="10" spans="2:14" ht="24" customHeight="1" x14ac:dyDescent="0.25">
      <c r="B10" s="104">
        <v>4</v>
      </c>
      <c r="C10" s="99" t="s">
        <v>120</v>
      </c>
      <c r="D10" s="100"/>
      <c r="E10" s="101"/>
      <c r="F10" s="12" t="str">
        <f ca="1">INDIRECT(ADDRESS(36,7))&amp;":"&amp;INDIRECT(ADDRESS(36,6))</f>
        <v>1:13</v>
      </c>
      <c r="G10" s="7" t="str">
        <f ca="1">INDIRECT(ADDRESS(41,6))&amp;":"&amp;INDIRECT(ADDRESS(41,7))</f>
        <v>4:13</v>
      </c>
      <c r="H10" s="7" t="str">
        <f ca="1">INDIRECT(ADDRESS(22,7))&amp;":"&amp;INDIRECT(ADDRESS(22,6))</f>
        <v>13:12</v>
      </c>
      <c r="I10" s="8" t="s">
        <v>30</v>
      </c>
      <c r="J10" s="7" t="str">
        <f ca="1">INDIRECT(ADDRESS(32,6))&amp;":"&amp;INDIRECT(ADDRESS(32,7))</f>
        <v>5:13</v>
      </c>
      <c r="K10" s="11" t="str">
        <f ca="1">INDIRECT(ADDRESS(25,7))&amp;":"&amp;INDIRECT(ADDRESS(25,6))</f>
        <v>13:12</v>
      </c>
      <c r="L10" s="144">
        <f ca="1">IF(COUNT(F11:K11)=0,"",COUNTIF(F11:K11,"&gt;0")+0.5*COUNTIF(F11:K11,0))</f>
        <v>2</v>
      </c>
      <c r="M10" s="16"/>
      <c r="N10" s="110">
        <v>4</v>
      </c>
    </row>
    <row r="11" spans="2:14" ht="24" customHeight="1" x14ac:dyDescent="0.25">
      <c r="B11" s="95"/>
      <c r="C11" s="99"/>
      <c r="D11" s="100"/>
      <c r="E11" s="101"/>
      <c r="F11" s="22">
        <f ca="1">IF(LEN(INDIRECT(ADDRESS(ROW()-1, COLUMN())))=1,"",INDIRECT(ADDRESS(36,7))-INDIRECT(ADDRESS(36,6)))</f>
        <v>-12</v>
      </c>
      <c r="G11" s="16">
        <f ca="1">IF(LEN(INDIRECT(ADDRESS(ROW()-1, COLUMN())))=1,"",INDIRECT(ADDRESS(41,6))-INDIRECT(ADDRESS(41,7)))</f>
        <v>-9</v>
      </c>
      <c r="H11" s="16">
        <f ca="1">IF(LEN(INDIRECT(ADDRESS(ROW()-1, COLUMN())))=1,"",INDIRECT(ADDRESS(22,7))-INDIRECT(ADDRESS(22,6)))</f>
        <v>1</v>
      </c>
      <c r="I11" s="14" t="s">
        <v>30</v>
      </c>
      <c r="J11" s="16">
        <f ca="1">IF(LEN(INDIRECT(ADDRESS(ROW()-1, COLUMN())))=1,"",INDIRECT(ADDRESS(32,6))-INDIRECT(ADDRESS(32,7)))</f>
        <v>-8</v>
      </c>
      <c r="K11" s="17">
        <f ca="1">IF(LEN(INDIRECT(ADDRESS(ROW()-1, COLUMN())))=1,"",INDIRECT(ADDRESS(25,7))-INDIRECT(ADDRESS(25,6)))</f>
        <v>1</v>
      </c>
      <c r="L11" s="144"/>
      <c r="M11" s="16">
        <f ca="1">IF(COUNT(F11:K11)=0,"",SUM(F11:K11))</f>
        <v>-27</v>
      </c>
      <c r="N11" s="89"/>
    </row>
    <row r="12" spans="2:14" ht="24" customHeight="1" x14ac:dyDescent="0.25">
      <c r="B12" s="104">
        <v>5</v>
      </c>
      <c r="C12" s="105" t="s">
        <v>138</v>
      </c>
      <c r="D12" s="106"/>
      <c r="E12" s="107"/>
      <c r="F12" s="12" t="str">
        <f ca="1">INDIRECT(ADDRESS(42,6))&amp;":"&amp;INDIRECT(ADDRESS(42,7))</f>
        <v>13:10</v>
      </c>
      <c r="G12" s="7" t="str">
        <f ca="1">INDIRECT(ADDRESS(21,7))&amp;":"&amp;INDIRECT(ADDRESS(21,6))</f>
        <v>13:6</v>
      </c>
      <c r="H12" s="7" t="str">
        <f ca="1">INDIRECT(ADDRESS(26,6))&amp;":"&amp;INDIRECT(ADDRESS(26,7))</f>
        <v>9:13</v>
      </c>
      <c r="I12" s="7" t="str">
        <f ca="1">INDIRECT(ADDRESS(32,7))&amp;":"&amp;INDIRECT(ADDRESS(32,6))</f>
        <v>13:5</v>
      </c>
      <c r="J12" s="8" t="s">
        <v>30</v>
      </c>
      <c r="K12" s="11" t="str">
        <f ca="1">INDIRECT(ADDRESS(35,7))&amp;":"&amp;INDIRECT(ADDRESS(35,6))</f>
        <v>5:13</v>
      </c>
      <c r="L12" s="144">
        <f ca="1">IF(COUNT(F13:K13)=0,"",COUNTIF(F13:K13,"&gt;0")+0.5*COUNTIF(F13:K13,0))</f>
        <v>3</v>
      </c>
      <c r="M12" s="16"/>
      <c r="N12" s="110">
        <v>2</v>
      </c>
    </row>
    <row r="13" spans="2:14" ht="24" customHeight="1" x14ac:dyDescent="0.25">
      <c r="B13" s="95"/>
      <c r="C13" s="105"/>
      <c r="D13" s="106"/>
      <c r="E13" s="107"/>
      <c r="F13" s="22">
        <f ca="1">IF(LEN(INDIRECT(ADDRESS(ROW()-1, COLUMN())))=1,"",INDIRECT(ADDRESS(42,6))-INDIRECT(ADDRESS(42,7)))</f>
        <v>3</v>
      </c>
      <c r="G13" s="16">
        <f ca="1">IF(LEN(INDIRECT(ADDRESS(ROW()-1, COLUMN())))=1,"",INDIRECT(ADDRESS(21,7))-INDIRECT(ADDRESS(21,6)))</f>
        <v>7</v>
      </c>
      <c r="H13" s="16">
        <f ca="1">IF(LEN(INDIRECT(ADDRESS(ROW()-1, COLUMN())))=1,"",INDIRECT(ADDRESS(26,6))-INDIRECT(ADDRESS(26,7)))</f>
        <v>-4</v>
      </c>
      <c r="I13" s="16">
        <f ca="1">IF(LEN(INDIRECT(ADDRESS(ROW()-1, COLUMN())))=1,"",INDIRECT(ADDRESS(32,7))-INDIRECT(ADDRESS(32,6)))</f>
        <v>8</v>
      </c>
      <c r="J13" s="14" t="s">
        <v>30</v>
      </c>
      <c r="K13" s="17">
        <f ca="1">IF(LEN(INDIRECT(ADDRESS(ROW()-1, COLUMN())))=1,"",INDIRECT(ADDRESS(35,7))-INDIRECT(ADDRESS(35,6)))</f>
        <v>-8</v>
      </c>
      <c r="L13" s="144"/>
      <c r="M13" s="16">
        <f ca="1">IF(COUNT(F13:K13)=0,"",SUM(F13:K13))</f>
        <v>6</v>
      </c>
      <c r="N13" s="89"/>
    </row>
    <row r="14" spans="2:14" ht="24" customHeight="1" x14ac:dyDescent="0.25">
      <c r="B14" s="104">
        <v>6</v>
      </c>
      <c r="C14" s="99" t="s">
        <v>121</v>
      </c>
      <c r="D14" s="100"/>
      <c r="E14" s="101"/>
      <c r="F14" s="12" t="str">
        <f ca="1">INDIRECT(ADDRESS(20,7))&amp;":"&amp;INDIRECT(ADDRESS(20,6))</f>
        <v>13:6</v>
      </c>
      <c r="G14" s="7" t="str">
        <f ca="1">INDIRECT(ADDRESS(30,7))&amp;":"&amp;INDIRECT(ADDRESS(30,6))</f>
        <v>7:13</v>
      </c>
      <c r="H14" s="7" t="str">
        <f ca="1">INDIRECT(ADDRESS(40,7))&amp;":"&amp;INDIRECT(ADDRESS(40,6))</f>
        <v>9:13</v>
      </c>
      <c r="I14" s="7" t="str">
        <f ca="1">INDIRECT(ADDRESS(25,6))&amp;":"&amp;INDIRECT(ADDRESS(25,7))</f>
        <v>12:13</v>
      </c>
      <c r="J14" s="7" t="str">
        <f ca="1">INDIRECT(ADDRESS(35,6))&amp;":"&amp;INDIRECT(ADDRESS(35,7))</f>
        <v>13:5</v>
      </c>
      <c r="K14" s="50" t="s">
        <v>30</v>
      </c>
      <c r="L14" s="144">
        <f ca="1">IF(COUNT(F15:K15)=0,"",COUNTIF(F15:K15,"&gt;0")+0.5*COUNTIF(F15:K15,0))</f>
        <v>2</v>
      </c>
      <c r="M14" s="16"/>
      <c r="N14" s="110">
        <v>6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7</v>
      </c>
      <c r="G15" s="18">
        <f ca="1">IF(LEN(INDIRECT(ADDRESS(ROW()-1, COLUMN())))=1,"",INDIRECT(ADDRESS(30,7))-INDIRECT(ADDRESS(30,6)))</f>
        <v>-6</v>
      </c>
      <c r="H15" s="18">
        <f ca="1">IF(LEN(INDIRECT(ADDRESS(ROW()-1, COLUMN())))=1,"",INDIRECT(ADDRESS(40,7))-INDIRECT(ADDRESS(40,6)))</f>
        <v>-4</v>
      </c>
      <c r="I15" s="18">
        <f ca="1">IF(LEN(INDIRECT(ADDRESS(ROW()-1, COLUMN())))=1,"",INDIRECT(ADDRESS(25,6))-INDIRECT(ADDRESS(25,7)))</f>
        <v>-1</v>
      </c>
      <c r="J15" s="18">
        <f ca="1">IF(LEN(INDIRECT(ADDRESS(ROW()-1, COLUMN())))=1,"",INDIRECT(ADDRESS(35,6))-INDIRECT(ADDRESS(35,7)))</f>
        <v>8</v>
      </c>
      <c r="K15" s="15" t="s">
        <v>30</v>
      </c>
      <c r="L15" s="145"/>
      <c r="M15" s="18">
        <f ca="1">IF(COUNT(F15:K15)=0,"",SUM(F15:K15))</f>
        <v>4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Тихонов Дмитрий</v>
      </c>
      <c r="D20" s="141"/>
      <c r="E20" s="142"/>
      <c r="F20" s="54">
        <v>6</v>
      </c>
      <c r="G20" s="55">
        <v>13</v>
      </c>
      <c r="H20" s="143" t="str">
        <f ca="1">IF(ISBLANK(INDIRECT(ADDRESS(K20*2+2,3))),"",INDIRECT(ADDRESS(K20*2+2,3)))</f>
        <v>Красноперов Игорь</v>
      </c>
      <c r="I20" s="141"/>
      <c r="J20" s="141"/>
      <c r="K20" s="53">
        <v>6</v>
      </c>
      <c r="L20" s="56" t="s">
        <v>10</v>
      </c>
      <c r="M20" s="73">
        <v>1</v>
      </c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Денисов Евгений</v>
      </c>
      <c r="D21" s="141"/>
      <c r="E21" s="142"/>
      <c r="F21" s="54">
        <v>6</v>
      </c>
      <c r="G21" s="55">
        <v>13</v>
      </c>
      <c r="H21" s="143" t="str">
        <f ca="1">IF(ISBLANK(INDIRECT(ADDRESS(K21*2+2,3))),"",INDIRECT(ADDRESS(K21*2+2,3)))</f>
        <v>Колесников Андрей</v>
      </c>
      <c r="I21" s="141"/>
      <c r="J21" s="141"/>
      <c r="K21" s="53">
        <v>5</v>
      </c>
      <c r="L21" s="56" t="s">
        <v>10</v>
      </c>
      <c r="M21" s="73">
        <v>2</v>
      </c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Базарев Дмитрий</v>
      </c>
      <c r="D22" s="141"/>
      <c r="E22" s="142"/>
      <c r="F22" s="54">
        <v>12</v>
      </c>
      <c r="G22" s="55">
        <v>13</v>
      </c>
      <c r="H22" s="143" t="str">
        <f ca="1">IF(ISBLANK(INDIRECT(ADDRESS(K22*2+2,3))),"",INDIRECT(ADDRESS(K22*2+2,3)))</f>
        <v>Трофимов Александр</v>
      </c>
      <c r="I22" s="141"/>
      <c r="J22" s="141"/>
      <c r="K22" s="53">
        <v>4</v>
      </c>
      <c r="L22" s="56" t="s">
        <v>10</v>
      </c>
      <c r="M22" s="73">
        <v>3</v>
      </c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Красноперов Игорь</v>
      </c>
      <c r="D25" s="141"/>
      <c r="E25" s="142"/>
      <c r="F25" s="54">
        <v>12</v>
      </c>
      <c r="G25" s="55">
        <v>13</v>
      </c>
      <c r="H25" s="143" t="str">
        <f ca="1">IF(ISBLANK(INDIRECT(ADDRESS(K25*2+2,3))),"",INDIRECT(ADDRESS(K25*2+2,3)))</f>
        <v>Трофимов Александр</v>
      </c>
      <c r="I25" s="141"/>
      <c r="J25" s="141"/>
      <c r="K25" s="53">
        <v>4</v>
      </c>
      <c r="L25" s="56" t="s">
        <v>10</v>
      </c>
      <c r="M25" s="73">
        <v>4</v>
      </c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Колесников Андрей</v>
      </c>
      <c r="D26" s="141"/>
      <c r="E26" s="142"/>
      <c r="F26" s="54">
        <v>9</v>
      </c>
      <c r="G26" s="55">
        <v>13</v>
      </c>
      <c r="H26" s="143" t="str">
        <f ca="1">IF(ISBLANK(INDIRECT(ADDRESS(K26*2+2,3))),"",INDIRECT(ADDRESS(K26*2+2,3)))</f>
        <v>Базарев Дмитрий</v>
      </c>
      <c r="I26" s="141"/>
      <c r="J26" s="141"/>
      <c r="K26" s="53">
        <v>3</v>
      </c>
      <c r="L26" s="56" t="s">
        <v>10</v>
      </c>
      <c r="M26" s="73">
        <v>5</v>
      </c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Тихонов Дмитрий</v>
      </c>
      <c r="D27" s="141"/>
      <c r="E27" s="142"/>
      <c r="F27" s="54">
        <v>5</v>
      </c>
      <c r="G27" s="55">
        <v>13</v>
      </c>
      <c r="H27" s="143" t="str">
        <f ca="1">IF(ISBLANK(INDIRECT(ADDRESS(K27*2+2,3))),"",INDIRECT(ADDRESS(K27*2+2,3)))</f>
        <v>Денисов Евгений</v>
      </c>
      <c r="I27" s="141"/>
      <c r="J27" s="141"/>
      <c r="K27" s="53">
        <v>2</v>
      </c>
      <c r="L27" s="56" t="s">
        <v>10</v>
      </c>
      <c r="M27" s="73">
        <v>6</v>
      </c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Денисов Евгений</v>
      </c>
      <c r="D30" s="141"/>
      <c r="E30" s="142"/>
      <c r="F30" s="54">
        <v>13</v>
      </c>
      <c r="G30" s="55">
        <v>7</v>
      </c>
      <c r="H30" s="143" t="str">
        <f ca="1">IF(ISBLANK(INDIRECT(ADDRESS(K30*2+2,3))),"",INDIRECT(ADDRESS(K30*2+2,3)))</f>
        <v>Красноперов Игорь</v>
      </c>
      <c r="I30" s="141"/>
      <c r="J30" s="141"/>
      <c r="K30" s="53">
        <v>6</v>
      </c>
      <c r="L30" s="56" t="s">
        <v>10</v>
      </c>
      <c r="M30" s="73">
        <v>3</v>
      </c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Базарев Дмитрий</v>
      </c>
      <c r="D31" s="141"/>
      <c r="E31" s="142"/>
      <c r="F31" s="54">
        <v>8</v>
      </c>
      <c r="G31" s="55">
        <v>13</v>
      </c>
      <c r="H31" s="143" t="str">
        <f ca="1">IF(ISBLANK(INDIRECT(ADDRESS(K31*2+2,3))),"",INDIRECT(ADDRESS(K31*2+2,3)))</f>
        <v>Тихонов Дмитрий</v>
      </c>
      <c r="I31" s="141"/>
      <c r="J31" s="141"/>
      <c r="K31" s="53">
        <v>1</v>
      </c>
      <c r="L31" s="56" t="s">
        <v>10</v>
      </c>
      <c r="M31" s="73">
        <v>2</v>
      </c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Трофимов Александр</v>
      </c>
      <c r="D32" s="141"/>
      <c r="E32" s="142"/>
      <c r="F32" s="54">
        <v>5</v>
      </c>
      <c r="G32" s="55">
        <v>13</v>
      </c>
      <c r="H32" s="143" t="str">
        <f ca="1">IF(ISBLANK(INDIRECT(ADDRESS(K32*2+2,3))),"",INDIRECT(ADDRESS(K32*2+2,3)))</f>
        <v>Колесников Андрей</v>
      </c>
      <c r="I32" s="141"/>
      <c r="J32" s="141"/>
      <c r="K32" s="53">
        <v>5</v>
      </c>
      <c r="L32" s="56" t="s">
        <v>10</v>
      </c>
      <c r="M32" s="73">
        <v>1</v>
      </c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Красноперов Игорь</v>
      </c>
      <c r="D35" s="141"/>
      <c r="E35" s="142"/>
      <c r="F35" s="54">
        <v>13</v>
      </c>
      <c r="G35" s="55">
        <v>5</v>
      </c>
      <c r="H35" s="143" t="str">
        <f ca="1">IF(ISBLANK(INDIRECT(ADDRESS(K35*2+2,3))),"",INDIRECT(ADDRESS(K35*2+2,3)))</f>
        <v>Колесников Андрей</v>
      </c>
      <c r="I35" s="141"/>
      <c r="J35" s="141"/>
      <c r="K35" s="53">
        <v>5</v>
      </c>
      <c r="L35" s="56" t="s">
        <v>10</v>
      </c>
      <c r="M35" s="73">
        <v>6</v>
      </c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Тихонов Дмитрий</v>
      </c>
      <c r="D36" s="141"/>
      <c r="E36" s="142"/>
      <c r="F36" s="54">
        <v>13</v>
      </c>
      <c r="G36" s="55">
        <v>1</v>
      </c>
      <c r="H36" s="143" t="str">
        <f ca="1">IF(ISBLANK(INDIRECT(ADDRESS(K36*2+2,3))),"",INDIRECT(ADDRESS(K36*2+2,3)))</f>
        <v>Трофимов Александр</v>
      </c>
      <c r="I36" s="141"/>
      <c r="J36" s="141"/>
      <c r="K36" s="53">
        <v>4</v>
      </c>
      <c r="L36" s="56" t="s">
        <v>10</v>
      </c>
      <c r="M36" s="73">
        <v>5</v>
      </c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Денисов Евгений</v>
      </c>
      <c r="D37" s="141"/>
      <c r="E37" s="142"/>
      <c r="F37" s="54">
        <v>13</v>
      </c>
      <c r="G37" s="55">
        <v>12</v>
      </c>
      <c r="H37" s="143" t="str">
        <f ca="1">IF(ISBLANK(INDIRECT(ADDRESS(K37*2+2,3))),"",INDIRECT(ADDRESS(K37*2+2,3)))</f>
        <v>Базарев Дмитрий</v>
      </c>
      <c r="I37" s="141"/>
      <c r="J37" s="141"/>
      <c r="K37" s="53">
        <v>3</v>
      </c>
      <c r="L37" s="56" t="s">
        <v>10</v>
      </c>
      <c r="M37" s="73">
        <v>4</v>
      </c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Базарев Дмитрий</v>
      </c>
      <c r="D40" s="141"/>
      <c r="E40" s="142"/>
      <c r="F40" s="54">
        <v>13</v>
      </c>
      <c r="G40" s="55">
        <v>9</v>
      </c>
      <c r="H40" s="143" t="str">
        <f ca="1">IF(ISBLANK(INDIRECT(ADDRESS(K40*2+2,3))),"",INDIRECT(ADDRESS(K40*2+2,3)))</f>
        <v>Красноперов Игорь</v>
      </c>
      <c r="I40" s="141"/>
      <c r="J40" s="141"/>
      <c r="K40" s="53">
        <v>6</v>
      </c>
      <c r="L40" s="56" t="s">
        <v>10</v>
      </c>
      <c r="M40" s="73">
        <v>1</v>
      </c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Трофимов Александр</v>
      </c>
      <c r="D41" s="141"/>
      <c r="E41" s="142"/>
      <c r="F41" s="54">
        <v>4</v>
      </c>
      <c r="G41" s="55">
        <v>13</v>
      </c>
      <c r="H41" s="143" t="str">
        <f ca="1">IF(ISBLANK(INDIRECT(ADDRESS(K41*2+2,3))),"",INDIRECT(ADDRESS(K41*2+2,3)))</f>
        <v>Денисов Евгений</v>
      </c>
      <c r="I41" s="141"/>
      <c r="J41" s="141"/>
      <c r="K41" s="53">
        <v>2</v>
      </c>
      <c r="L41" s="56" t="s">
        <v>10</v>
      </c>
      <c r="M41" s="73">
        <v>2</v>
      </c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Колесников Андрей</v>
      </c>
      <c r="D42" s="141"/>
      <c r="E42" s="142"/>
      <c r="F42" s="54">
        <v>13</v>
      </c>
      <c r="G42" s="55">
        <v>10</v>
      </c>
      <c r="H42" s="143" t="str">
        <f ca="1">IF(ISBLANK(INDIRECT(ADDRESS(K42*2+2,3))),"",INDIRECT(ADDRESS(K42*2+2,3)))</f>
        <v>Тихонов Дмитрий</v>
      </c>
      <c r="I42" s="141"/>
      <c r="J42" s="141"/>
      <c r="K42" s="53">
        <v>1</v>
      </c>
      <c r="L42" s="56" t="s">
        <v>10</v>
      </c>
      <c r="M42" s="73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12" sqref="C12:E13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2:14" ht="38.25" customHeight="1" x14ac:dyDescent="0.25">
      <c r="B1" s="147" t="s">
        <v>102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 t="s">
        <v>110</v>
      </c>
      <c r="N1" s="46">
        <v>45683</v>
      </c>
    </row>
    <row r="2" spans="2:14" ht="15.75" thickBot="1" x14ac:dyDescent="0.3">
      <c r="M2"/>
    </row>
    <row r="3" spans="2:14" ht="30" customHeight="1" thickBot="1" x14ac:dyDescent="0.3">
      <c r="B3" s="72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94">
        <v>1</v>
      </c>
      <c r="C4" s="96" t="s">
        <v>122</v>
      </c>
      <c r="D4" s="97"/>
      <c r="E4" s="98"/>
      <c r="F4" s="10" t="s">
        <v>30</v>
      </c>
      <c r="G4" s="6" t="str">
        <f ca="1">INDIRECT(ADDRESS(27,6))&amp;":"&amp;INDIRECT(ADDRESS(27,7))</f>
        <v>10:9</v>
      </c>
      <c r="H4" s="6" t="str">
        <f ca="1">INDIRECT(ADDRESS(31,7))&amp;":"&amp;INDIRECT(ADDRESS(31,6))</f>
        <v>12:6</v>
      </c>
      <c r="I4" s="6" t="str">
        <f ca="1">INDIRECT(ADDRESS(36,6))&amp;":"&amp;INDIRECT(ADDRESS(36,7))</f>
        <v>5:10</v>
      </c>
      <c r="J4" s="6" t="str">
        <f ca="1">INDIRECT(ADDRESS(42,7))&amp;":"&amp;INDIRECT(ADDRESS(42,6))</f>
        <v>4:13</v>
      </c>
      <c r="K4" s="20" t="str">
        <f ca="1">INDIRECT(ADDRESS(20,6))&amp;":"&amp;INDIRECT(ADDRESS(20,7))</f>
        <v>9:12</v>
      </c>
      <c r="L4" s="151">
        <f ca="1">IF(COUNT(F5:K5)=0,"",COUNTIF(F5:K5,"&gt;0")+0.5*COUNTIF(F5:K5,0))</f>
        <v>2</v>
      </c>
      <c r="M4" s="23"/>
      <c r="N4" s="88">
        <v>4</v>
      </c>
    </row>
    <row r="5" spans="2:14" ht="24" customHeight="1" x14ac:dyDescent="0.25">
      <c r="B5" s="95"/>
      <c r="C5" s="99"/>
      <c r="D5" s="100"/>
      <c r="E5" s="101"/>
      <c r="F5" s="13" t="s">
        <v>30</v>
      </c>
      <c r="G5" s="16">
        <f ca="1">IF(LEN(INDIRECT(ADDRESS(ROW()-1, COLUMN())))=1,"",INDIRECT(ADDRESS(27,6))-INDIRECT(ADDRESS(27,7)))</f>
        <v>1</v>
      </c>
      <c r="H5" s="16">
        <f ca="1">IF(LEN(INDIRECT(ADDRESS(ROW()-1, COLUMN())))=1,"",INDIRECT(ADDRESS(31,7))-INDIRECT(ADDRESS(31,6)))</f>
        <v>6</v>
      </c>
      <c r="I5" s="16">
        <f ca="1">IF(LEN(INDIRECT(ADDRESS(ROW()-1, COLUMN())))=1,"",INDIRECT(ADDRESS(36,6))-INDIRECT(ADDRESS(36,7)))</f>
        <v>-5</v>
      </c>
      <c r="J5" s="16">
        <f ca="1">IF(LEN(INDIRECT(ADDRESS(ROW()-1, COLUMN())))=1,"",INDIRECT(ADDRESS(42,7))-INDIRECT(ADDRESS(42,6)))</f>
        <v>-9</v>
      </c>
      <c r="K5" s="17">
        <f ca="1">IF(LEN(INDIRECT(ADDRESS(ROW()-1, COLUMN())))=1,"",INDIRECT(ADDRESS(20,6))-INDIRECT(ADDRESS(20,7)))</f>
        <v>-3</v>
      </c>
      <c r="L5" s="144"/>
      <c r="M5" s="16">
        <f ca="1">IF(COUNT(F5:K5)=0,"",SUM(F5:K5))</f>
        <v>-10</v>
      </c>
      <c r="N5" s="89"/>
    </row>
    <row r="6" spans="2:14" ht="24" customHeight="1" x14ac:dyDescent="0.25">
      <c r="B6" s="104">
        <v>2</v>
      </c>
      <c r="C6" s="99" t="s">
        <v>123</v>
      </c>
      <c r="D6" s="100"/>
      <c r="E6" s="101"/>
      <c r="F6" s="12" t="str">
        <f ca="1">INDIRECT(ADDRESS(27,7))&amp;":"&amp;INDIRECT(ADDRESS(27,6))</f>
        <v>9:10</v>
      </c>
      <c r="G6" s="8" t="s">
        <v>30</v>
      </c>
      <c r="H6" s="7" t="str">
        <f ca="1">INDIRECT(ADDRESS(37,6))&amp;":"&amp;INDIRECT(ADDRESS(37,7))</f>
        <v>12:13</v>
      </c>
      <c r="I6" s="7" t="str">
        <f ca="1">INDIRECT(ADDRESS(41,7))&amp;":"&amp;INDIRECT(ADDRESS(41,6))</f>
        <v>13:6</v>
      </c>
      <c r="J6" s="7" t="str">
        <f ca="1">INDIRECT(ADDRESS(21,6))&amp;":"&amp;INDIRECT(ADDRESS(21,7))</f>
        <v>10:13</v>
      </c>
      <c r="K6" s="11" t="str">
        <f ca="1">INDIRECT(ADDRESS(30,6))&amp;":"&amp;INDIRECT(ADDRESS(30,7))</f>
        <v>13:9</v>
      </c>
      <c r="L6" s="144">
        <f ca="1">IF(COUNT(F7:K7)=0,"",COUNTIF(F7:K7,"&gt;0")+0.5*COUNTIF(F7:K7,0))</f>
        <v>2</v>
      </c>
      <c r="M6" s="16"/>
      <c r="N6" s="110">
        <v>5</v>
      </c>
    </row>
    <row r="7" spans="2:14" ht="24" customHeight="1" x14ac:dyDescent="0.25">
      <c r="B7" s="95"/>
      <c r="C7" s="99"/>
      <c r="D7" s="100"/>
      <c r="E7" s="101"/>
      <c r="F7" s="22">
        <f ca="1">IF(LEN(INDIRECT(ADDRESS(ROW()-1, COLUMN())))=1,"",INDIRECT(ADDRESS(27,7))-INDIRECT(ADDRESS(27,6)))</f>
        <v>-1</v>
      </c>
      <c r="G7" s="14" t="s">
        <v>30</v>
      </c>
      <c r="H7" s="16">
        <f ca="1">IF(LEN(INDIRECT(ADDRESS(ROW()-1, COLUMN())))=1,"",INDIRECT(ADDRESS(37,6))-INDIRECT(ADDRESS(37,7)))</f>
        <v>-1</v>
      </c>
      <c r="I7" s="16">
        <f ca="1">IF(LEN(INDIRECT(ADDRESS(ROW()-1, COLUMN())))=1,"",INDIRECT(ADDRESS(41,7))-INDIRECT(ADDRESS(41,6)))</f>
        <v>7</v>
      </c>
      <c r="J7" s="16">
        <f ca="1">IF(LEN(INDIRECT(ADDRESS(ROW()-1, COLUMN())))=1,"",INDIRECT(ADDRESS(21,6))-INDIRECT(ADDRESS(21,7)))</f>
        <v>-3</v>
      </c>
      <c r="K7" s="17">
        <f ca="1">IF(LEN(INDIRECT(ADDRESS(ROW()-1, COLUMN())))=1,"",INDIRECT(ADDRESS(30,6))-INDIRECT(ADDRESS(30,7)))</f>
        <v>4</v>
      </c>
      <c r="L7" s="144"/>
      <c r="M7" s="16">
        <f ca="1">IF(COUNT(F7:K7)=0,"",SUM(F7:K7))</f>
        <v>6</v>
      </c>
      <c r="N7" s="89"/>
    </row>
    <row r="8" spans="2:14" ht="24" customHeight="1" x14ac:dyDescent="0.25">
      <c r="B8" s="104">
        <v>3</v>
      </c>
      <c r="C8" s="105" t="s">
        <v>124</v>
      </c>
      <c r="D8" s="106"/>
      <c r="E8" s="107"/>
      <c r="F8" s="12" t="str">
        <f ca="1">INDIRECT(ADDRESS(31,6))&amp;":"&amp;INDIRECT(ADDRESS(31,7))</f>
        <v>6:12</v>
      </c>
      <c r="G8" s="7" t="str">
        <f ca="1">INDIRECT(ADDRESS(37,7))&amp;":"&amp;INDIRECT(ADDRESS(37,6))</f>
        <v>13:12</v>
      </c>
      <c r="H8" s="8" t="s">
        <v>30</v>
      </c>
      <c r="I8" s="7" t="str">
        <f ca="1">INDIRECT(ADDRESS(22,6))&amp;":"&amp;INDIRECT(ADDRESS(22,7))</f>
        <v>13:3</v>
      </c>
      <c r="J8" s="7" t="str">
        <f ca="1">INDIRECT(ADDRESS(26,7))&amp;":"&amp;INDIRECT(ADDRESS(26,6))</f>
        <v>10:9</v>
      </c>
      <c r="K8" s="11" t="str">
        <f ca="1">INDIRECT(ADDRESS(40,6))&amp;":"&amp;INDIRECT(ADDRESS(40,7))</f>
        <v>13:6</v>
      </c>
      <c r="L8" s="144">
        <f ca="1">IF(COUNT(F9:K9)=0,"",COUNTIF(F9:K9,"&gt;0")+0.5*COUNTIF(F9:K9,0))</f>
        <v>4</v>
      </c>
      <c r="M8" s="16"/>
      <c r="N8" s="110">
        <v>1</v>
      </c>
    </row>
    <row r="9" spans="2:14" ht="24" customHeight="1" x14ac:dyDescent="0.25">
      <c r="B9" s="95"/>
      <c r="C9" s="105"/>
      <c r="D9" s="106"/>
      <c r="E9" s="107"/>
      <c r="F9" s="22">
        <f ca="1">IF(LEN(INDIRECT(ADDRESS(ROW()-1, COLUMN())))=1,"",INDIRECT(ADDRESS(31,6))-INDIRECT(ADDRESS(31,7)))</f>
        <v>-6</v>
      </c>
      <c r="G9" s="16">
        <f ca="1">IF(LEN(INDIRECT(ADDRESS(ROW()-1, COLUMN())))=1,"",INDIRECT(ADDRESS(37,7))-INDIRECT(ADDRESS(37,6)))</f>
        <v>1</v>
      </c>
      <c r="H9" s="14" t="s">
        <v>30</v>
      </c>
      <c r="I9" s="16">
        <f ca="1">IF(LEN(INDIRECT(ADDRESS(ROW()-1, COLUMN())))=1,"",INDIRECT(ADDRESS(22,6))-INDIRECT(ADDRESS(22,7)))</f>
        <v>10</v>
      </c>
      <c r="J9" s="16">
        <f ca="1">IF(LEN(INDIRECT(ADDRESS(ROW()-1, COLUMN())))=1,"",INDIRECT(ADDRESS(26,7))-INDIRECT(ADDRESS(26,6)))</f>
        <v>1</v>
      </c>
      <c r="K9" s="17">
        <f ca="1">IF(LEN(INDIRECT(ADDRESS(ROW()-1, COLUMN())))=1,"",INDIRECT(ADDRESS(40,6))-INDIRECT(ADDRESS(40,7)))</f>
        <v>7</v>
      </c>
      <c r="L9" s="144"/>
      <c r="M9" s="16">
        <f ca="1">IF(COUNT(F9:K9)=0,"",SUM(F9:K9))</f>
        <v>13</v>
      </c>
      <c r="N9" s="89"/>
    </row>
    <row r="10" spans="2:14" ht="24" customHeight="1" x14ac:dyDescent="0.25">
      <c r="B10" s="104">
        <v>4</v>
      </c>
      <c r="C10" s="105" t="s">
        <v>127</v>
      </c>
      <c r="D10" s="106"/>
      <c r="E10" s="107"/>
      <c r="F10" s="12" t="str">
        <f ca="1">INDIRECT(ADDRESS(36,7))&amp;":"&amp;INDIRECT(ADDRESS(36,6))</f>
        <v>10:5</v>
      </c>
      <c r="G10" s="7" t="str">
        <f ca="1">INDIRECT(ADDRESS(41,6))&amp;":"&amp;INDIRECT(ADDRESS(41,7))</f>
        <v>6:13</v>
      </c>
      <c r="H10" s="7" t="str">
        <f ca="1">INDIRECT(ADDRESS(22,7))&amp;":"&amp;INDIRECT(ADDRESS(22,6))</f>
        <v>3:13</v>
      </c>
      <c r="I10" s="8" t="s">
        <v>30</v>
      </c>
      <c r="J10" s="7" t="str">
        <f ca="1">INDIRECT(ADDRESS(32,6))&amp;":"&amp;INDIRECT(ADDRESS(32,7))</f>
        <v>13:6</v>
      </c>
      <c r="K10" s="11" t="str">
        <f ca="1">INDIRECT(ADDRESS(25,7))&amp;":"&amp;INDIRECT(ADDRESS(25,6))</f>
        <v>13:5</v>
      </c>
      <c r="L10" s="144">
        <f ca="1">IF(COUNT(F11:K11)=0,"",COUNTIF(F11:K11,"&gt;0")+0.5*COUNTIF(F11:K11,0))</f>
        <v>3</v>
      </c>
      <c r="M10" s="16"/>
      <c r="N10" s="110">
        <v>2</v>
      </c>
    </row>
    <row r="11" spans="2:14" ht="24" customHeight="1" x14ac:dyDescent="0.25">
      <c r="B11" s="95"/>
      <c r="C11" s="105"/>
      <c r="D11" s="106"/>
      <c r="E11" s="107"/>
      <c r="F11" s="22">
        <f ca="1">IF(LEN(INDIRECT(ADDRESS(ROW()-1, COLUMN())))=1,"",INDIRECT(ADDRESS(36,7))-INDIRECT(ADDRESS(36,6)))</f>
        <v>5</v>
      </c>
      <c r="G11" s="16">
        <f ca="1">IF(LEN(INDIRECT(ADDRESS(ROW()-1, COLUMN())))=1,"",INDIRECT(ADDRESS(41,6))-INDIRECT(ADDRESS(41,7)))</f>
        <v>-7</v>
      </c>
      <c r="H11" s="16">
        <f ca="1">IF(LEN(INDIRECT(ADDRESS(ROW()-1, COLUMN())))=1,"",INDIRECT(ADDRESS(22,7))-INDIRECT(ADDRESS(22,6)))</f>
        <v>-10</v>
      </c>
      <c r="I11" s="14" t="s">
        <v>30</v>
      </c>
      <c r="J11" s="16">
        <f ca="1">IF(LEN(INDIRECT(ADDRESS(ROW()-1, COLUMN())))=1,"",INDIRECT(ADDRESS(32,6))-INDIRECT(ADDRESS(32,7)))</f>
        <v>7</v>
      </c>
      <c r="K11" s="17">
        <f ca="1">IF(LEN(INDIRECT(ADDRESS(ROW()-1, COLUMN())))=1,"",INDIRECT(ADDRESS(25,7))-INDIRECT(ADDRESS(25,6)))</f>
        <v>8</v>
      </c>
      <c r="L11" s="144"/>
      <c r="M11" s="16">
        <f ca="1">IF(COUNT(F11:K11)=0,"",SUM(F11:K11))</f>
        <v>3</v>
      </c>
      <c r="N11" s="89"/>
    </row>
    <row r="12" spans="2:14" ht="24" customHeight="1" x14ac:dyDescent="0.25">
      <c r="B12" s="104">
        <v>5</v>
      </c>
      <c r="C12" s="126" t="s">
        <v>125</v>
      </c>
      <c r="D12" s="127"/>
      <c r="E12" s="128"/>
      <c r="F12" s="12" t="str">
        <f ca="1">INDIRECT(ADDRESS(42,6))&amp;":"&amp;INDIRECT(ADDRESS(42,7))</f>
        <v>13:4</v>
      </c>
      <c r="G12" s="7" t="str">
        <f ca="1">INDIRECT(ADDRESS(21,7))&amp;":"&amp;INDIRECT(ADDRESS(21,6))</f>
        <v>13:10</v>
      </c>
      <c r="H12" s="7" t="str">
        <f ca="1">INDIRECT(ADDRESS(26,6))&amp;":"&amp;INDIRECT(ADDRESS(26,7))</f>
        <v>9:10</v>
      </c>
      <c r="I12" s="7" t="str">
        <f ca="1">INDIRECT(ADDRESS(32,7))&amp;":"&amp;INDIRECT(ADDRESS(32,6))</f>
        <v>6:13</v>
      </c>
      <c r="J12" s="8" t="s">
        <v>30</v>
      </c>
      <c r="K12" s="11" t="str">
        <f ca="1">INDIRECT(ADDRESS(35,7))&amp;":"&amp;INDIRECT(ADDRESS(35,6))</f>
        <v>13:11</v>
      </c>
      <c r="L12" s="144">
        <f ca="1">IF(COUNT(F13:K13)=0,"",COUNTIF(F13:K13,"&gt;0")+0.5*COUNTIF(F13:K13,0))</f>
        <v>3</v>
      </c>
      <c r="M12" s="16"/>
      <c r="N12" s="110">
        <v>3</v>
      </c>
    </row>
    <row r="13" spans="2:14" ht="24" customHeight="1" x14ac:dyDescent="0.25">
      <c r="B13" s="95"/>
      <c r="C13" s="126"/>
      <c r="D13" s="127"/>
      <c r="E13" s="128"/>
      <c r="F13" s="22">
        <f ca="1">IF(LEN(INDIRECT(ADDRESS(ROW()-1, COLUMN())))=1,"",INDIRECT(ADDRESS(42,6))-INDIRECT(ADDRESS(42,7)))</f>
        <v>9</v>
      </c>
      <c r="G13" s="16">
        <f ca="1">IF(LEN(INDIRECT(ADDRESS(ROW()-1, COLUMN())))=1,"",INDIRECT(ADDRESS(21,7))-INDIRECT(ADDRESS(21,6)))</f>
        <v>3</v>
      </c>
      <c r="H13" s="16">
        <f ca="1">IF(LEN(INDIRECT(ADDRESS(ROW()-1, COLUMN())))=1,"",INDIRECT(ADDRESS(26,6))-INDIRECT(ADDRESS(26,7)))</f>
        <v>-1</v>
      </c>
      <c r="I13" s="16">
        <f ca="1">IF(LEN(INDIRECT(ADDRESS(ROW()-1, COLUMN())))=1,"",INDIRECT(ADDRESS(32,7))-INDIRECT(ADDRESS(32,6)))</f>
        <v>-7</v>
      </c>
      <c r="J13" s="14" t="s">
        <v>30</v>
      </c>
      <c r="K13" s="17">
        <f ca="1">IF(LEN(INDIRECT(ADDRESS(ROW()-1, COLUMN())))=1,"",INDIRECT(ADDRESS(35,7))-INDIRECT(ADDRESS(35,6)))</f>
        <v>2</v>
      </c>
      <c r="L13" s="144"/>
      <c r="M13" s="16">
        <f ca="1">IF(COUNT(F13:K13)=0,"",SUM(F13:K13))</f>
        <v>6</v>
      </c>
      <c r="N13" s="89"/>
    </row>
    <row r="14" spans="2:14" ht="24" customHeight="1" x14ac:dyDescent="0.25">
      <c r="B14" s="104">
        <v>6</v>
      </c>
      <c r="C14" s="99" t="s">
        <v>126</v>
      </c>
      <c r="D14" s="100"/>
      <c r="E14" s="101"/>
      <c r="F14" s="12" t="str">
        <f ca="1">INDIRECT(ADDRESS(20,7))&amp;":"&amp;INDIRECT(ADDRESS(20,6))</f>
        <v>12:9</v>
      </c>
      <c r="G14" s="7" t="str">
        <f ca="1">INDIRECT(ADDRESS(30,7))&amp;":"&amp;INDIRECT(ADDRESS(30,6))</f>
        <v>9:13</v>
      </c>
      <c r="H14" s="7" t="str">
        <f ca="1">INDIRECT(ADDRESS(40,7))&amp;":"&amp;INDIRECT(ADDRESS(40,6))</f>
        <v>6:13</v>
      </c>
      <c r="I14" s="7" t="str">
        <f ca="1">INDIRECT(ADDRESS(25,6))&amp;":"&amp;INDIRECT(ADDRESS(25,7))</f>
        <v>5:13</v>
      </c>
      <c r="J14" s="7" t="str">
        <f ca="1">INDIRECT(ADDRESS(35,6))&amp;":"&amp;INDIRECT(ADDRESS(35,7))</f>
        <v>11:13</v>
      </c>
      <c r="K14" s="50" t="s">
        <v>30</v>
      </c>
      <c r="L14" s="144">
        <f ca="1">IF(COUNT(F15:K15)=0,"",COUNTIF(F15:K15,"&gt;0")+0.5*COUNTIF(F15:K15,0))</f>
        <v>1</v>
      </c>
      <c r="M14" s="16"/>
      <c r="N14" s="110">
        <v>6</v>
      </c>
    </row>
    <row r="15" spans="2:14" ht="24" customHeight="1" thickBot="1" x14ac:dyDescent="0.3">
      <c r="B15" s="119"/>
      <c r="C15" s="136"/>
      <c r="D15" s="137"/>
      <c r="E15" s="138"/>
      <c r="F15" s="19">
        <f ca="1">IF(LEN(INDIRECT(ADDRESS(ROW()-1, COLUMN())))=1,"",INDIRECT(ADDRESS(20,7))-INDIRECT(ADDRESS(20,6)))</f>
        <v>3</v>
      </c>
      <c r="G15" s="18">
        <f ca="1">IF(LEN(INDIRECT(ADDRESS(ROW()-1, COLUMN())))=1,"",INDIRECT(ADDRESS(30,7))-INDIRECT(ADDRESS(30,6)))</f>
        <v>-4</v>
      </c>
      <c r="H15" s="18">
        <f ca="1">IF(LEN(INDIRECT(ADDRESS(ROW()-1, COLUMN())))=1,"",INDIRECT(ADDRESS(40,7))-INDIRECT(ADDRESS(40,6)))</f>
        <v>-7</v>
      </c>
      <c r="I15" s="18">
        <f ca="1">IF(LEN(INDIRECT(ADDRESS(ROW()-1, COLUMN())))=1,"",INDIRECT(ADDRESS(25,6))-INDIRECT(ADDRESS(25,7)))</f>
        <v>-8</v>
      </c>
      <c r="J15" s="18">
        <f ca="1">IF(LEN(INDIRECT(ADDRESS(ROW()-1, COLUMN())))=1,"",INDIRECT(ADDRESS(35,6))-INDIRECT(ADDRESS(35,7)))</f>
        <v>-2</v>
      </c>
      <c r="K15" s="15" t="s">
        <v>30</v>
      </c>
      <c r="L15" s="145"/>
      <c r="M15" s="18">
        <f ca="1">IF(COUNT(F15:K15)=0,"",SUM(F15:K15))</f>
        <v>-18</v>
      </c>
      <c r="N15" s="14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53">
        <v>1</v>
      </c>
      <c r="C20" s="141" t="str">
        <f ca="1">IF(ISBLANK(INDIRECT(ADDRESS(B20*2+2,3))),"",INDIRECT(ADDRESS(B20*2+2,3)))</f>
        <v>Поляков Алексей</v>
      </c>
      <c r="D20" s="141"/>
      <c r="E20" s="142"/>
      <c r="F20" s="54">
        <v>9</v>
      </c>
      <c r="G20" s="55">
        <v>12</v>
      </c>
      <c r="H20" s="143" t="str">
        <f ca="1">IF(ISBLANK(INDIRECT(ADDRESS(K20*2+2,3))),"",INDIRECT(ADDRESS(K20*2+2,3)))</f>
        <v>Педченко Александр</v>
      </c>
      <c r="I20" s="141"/>
      <c r="J20" s="141"/>
      <c r="K20" s="53">
        <v>6</v>
      </c>
      <c r="L20" s="56" t="s">
        <v>10</v>
      </c>
      <c r="M20" s="73">
        <v>1</v>
      </c>
    </row>
    <row r="21" spans="1:13" s="52" customFormat="1" ht="30" customHeight="1" thickBot="1" x14ac:dyDescent="0.4">
      <c r="A21" s="51"/>
      <c r="B21" s="53">
        <v>2</v>
      </c>
      <c r="C21" s="141" t="str">
        <f ca="1">IF(ISBLANK(INDIRECT(ADDRESS(B21*2+2,3))),"",INDIRECT(ADDRESS(B21*2+2,3)))</f>
        <v>Давыдов Андрей</v>
      </c>
      <c r="D21" s="141"/>
      <c r="E21" s="142"/>
      <c r="F21" s="54">
        <v>10</v>
      </c>
      <c r="G21" s="55">
        <v>13</v>
      </c>
      <c r="H21" s="143" t="str">
        <f ca="1">IF(ISBLANK(INDIRECT(ADDRESS(K21*2+2,3))),"",INDIRECT(ADDRESS(K21*2+2,3)))</f>
        <v>Вдовенко Виталий</v>
      </c>
      <c r="I21" s="141"/>
      <c r="J21" s="141"/>
      <c r="K21" s="53">
        <v>5</v>
      </c>
      <c r="L21" s="56" t="s">
        <v>10</v>
      </c>
      <c r="M21" s="73">
        <v>2</v>
      </c>
    </row>
    <row r="22" spans="1:13" s="52" customFormat="1" ht="30" customHeight="1" thickBot="1" x14ac:dyDescent="0.4">
      <c r="A22" s="51"/>
      <c r="B22" s="53">
        <v>3</v>
      </c>
      <c r="C22" s="141" t="str">
        <f ca="1">IF(ISBLANK(INDIRECT(ADDRESS(B22*2+2,3))),"",INDIRECT(ADDRESS(B22*2+2,3)))</f>
        <v>Бейгер Максим</v>
      </c>
      <c r="D22" s="141"/>
      <c r="E22" s="142"/>
      <c r="F22" s="54">
        <v>13</v>
      </c>
      <c r="G22" s="55">
        <v>3</v>
      </c>
      <c r="H22" s="143" t="str">
        <f ca="1">IF(ISBLANK(INDIRECT(ADDRESS(K22*2+2,3))),"",INDIRECT(ADDRESS(K22*2+2,3)))</f>
        <v>Тарасов Константин</v>
      </c>
      <c r="I22" s="141"/>
      <c r="J22" s="141"/>
      <c r="K22" s="53">
        <v>4</v>
      </c>
      <c r="L22" s="56" t="s">
        <v>10</v>
      </c>
      <c r="M22" s="73">
        <v>3</v>
      </c>
    </row>
    <row r="23" spans="1:13" s="52" customFormat="1" ht="30" customHeight="1" x14ac:dyDescent="0.35">
      <c r="A23" s="51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M24" s="57"/>
    </row>
    <row r="25" spans="1:13" s="52" customFormat="1" ht="30" customHeight="1" thickBot="1" x14ac:dyDescent="0.4">
      <c r="A25" s="51"/>
      <c r="B25" s="53">
        <v>6</v>
      </c>
      <c r="C25" s="141" t="str">
        <f ca="1">IF(ISBLANK(INDIRECT(ADDRESS(B25*2+2,3))),"",INDIRECT(ADDRESS(B25*2+2,3)))</f>
        <v>Педченко Александр</v>
      </c>
      <c r="D25" s="141"/>
      <c r="E25" s="142"/>
      <c r="F25" s="54">
        <v>5</v>
      </c>
      <c r="G25" s="55">
        <v>13</v>
      </c>
      <c r="H25" s="143" t="str">
        <f ca="1">IF(ISBLANK(INDIRECT(ADDRESS(K25*2+2,3))),"",INDIRECT(ADDRESS(K25*2+2,3)))</f>
        <v>Тарасов Константин</v>
      </c>
      <c r="I25" s="141"/>
      <c r="J25" s="141"/>
      <c r="K25" s="53">
        <v>4</v>
      </c>
      <c r="L25" s="56" t="s">
        <v>10</v>
      </c>
      <c r="M25" s="73">
        <v>4</v>
      </c>
    </row>
    <row r="26" spans="1:13" s="52" customFormat="1" ht="30" customHeight="1" thickBot="1" x14ac:dyDescent="0.4">
      <c r="A26" s="51"/>
      <c r="B26" s="53">
        <v>5</v>
      </c>
      <c r="C26" s="141" t="str">
        <f ca="1">IF(ISBLANK(INDIRECT(ADDRESS(B26*2+2,3))),"",INDIRECT(ADDRESS(B26*2+2,3)))</f>
        <v>Вдовенко Виталий</v>
      </c>
      <c r="D26" s="141"/>
      <c r="E26" s="142"/>
      <c r="F26" s="54">
        <v>9</v>
      </c>
      <c r="G26" s="55">
        <v>10</v>
      </c>
      <c r="H26" s="143" t="str">
        <f ca="1">IF(ISBLANK(INDIRECT(ADDRESS(K26*2+2,3))),"",INDIRECT(ADDRESS(K26*2+2,3)))</f>
        <v>Бейгер Максим</v>
      </c>
      <c r="I26" s="141"/>
      <c r="J26" s="141"/>
      <c r="K26" s="53">
        <v>3</v>
      </c>
      <c r="L26" s="56" t="s">
        <v>10</v>
      </c>
      <c r="M26" s="73">
        <v>5</v>
      </c>
    </row>
    <row r="27" spans="1:13" s="52" customFormat="1" ht="30" customHeight="1" thickBot="1" x14ac:dyDescent="0.4">
      <c r="A27" s="51"/>
      <c r="B27" s="53">
        <v>1</v>
      </c>
      <c r="C27" s="141" t="str">
        <f ca="1">IF(ISBLANK(INDIRECT(ADDRESS(B27*2+2,3))),"",INDIRECT(ADDRESS(B27*2+2,3)))</f>
        <v>Поляков Алексей</v>
      </c>
      <c r="D27" s="141"/>
      <c r="E27" s="142"/>
      <c r="F27" s="54">
        <v>10</v>
      </c>
      <c r="G27" s="55">
        <v>9</v>
      </c>
      <c r="H27" s="143" t="str">
        <f ca="1">IF(ISBLANK(INDIRECT(ADDRESS(K27*2+2,3))),"",INDIRECT(ADDRESS(K27*2+2,3)))</f>
        <v>Давыдов Андрей</v>
      </c>
      <c r="I27" s="141"/>
      <c r="J27" s="141"/>
      <c r="K27" s="53">
        <v>2</v>
      </c>
      <c r="L27" s="56" t="s">
        <v>10</v>
      </c>
      <c r="M27" s="73">
        <v>6</v>
      </c>
    </row>
    <row r="28" spans="1:13" s="52" customFormat="1" ht="30" customHeight="1" x14ac:dyDescent="0.35">
      <c r="A28" s="51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M29" s="57"/>
    </row>
    <row r="30" spans="1:13" s="52" customFormat="1" ht="30" customHeight="1" thickBot="1" x14ac:dyDescent="0.4">
      <c r="A30" s="51"/>
      <c r="B30" s="53">
        <v>2</v>
      </c>
      <c r="C30" s="141" t="str">
        <f ca="1">IF(ISBLANK(INDIRECT(ADDRESS(B30*2+2,3))),"",INDIRECT(ADDRESS(B30*2+2,3)))</f>
        <v>Давыдов Андрей</v>
      </c>
      <c r="D30" s="141"/>
      <c r="E30" s="142"/>
      <c r="F30" s="54">
        <v>13</v>
      </c>
      <c r="G30" s="55">
        <v>9</v>
      </c>
      <c r="H30" s="143" t="str">
        <f ca="1">IF(ISBLANK(INDIRECT(ADDRESS(K30*2+2,3))),"",INDIRECT(ADDRESS(K30*2+2,3)))</f>
        <v>Педченко Александр</v>
      </c>
      <c r="I30" s="141"/>
      <c r="J30" s="141"/>
      <c r="K30" s="53">
        <v>6</v>
      </c>
      <c r="L30" s="56" t="s">
        <v>10</v>
      </c>
      <c r="M30" s="73">
        <v>3</v>
      </c>
    </row>
    <row r="31" spans="1:13" s="52" customFormat="1" ht="30" customHeight="1" thickBot="1" x14ac:dyDescent="0.4">
      <c r="A31" s="51"/>
      <c r="B31" s="53">
        <v>3</v>
      </c>
      <c r="C31" s="141" t="str">
        <f ca="1">IF(ISBLANK(INDIRECT(ADDRESS(B31*2+2,3))),"",INDIRECT(ADDRESS(B31*2+2,3)))</f>
        <v>Бейгер Максим</v>
      </c>
      <c r="D31" s="141"/>
      <c r="E31" s="142"/>
      <c r="F31" s="54">
        <v>6</v>
      </c>
      <c r="G31" s="55">
        <v>12</v>
      </c>
      <c r="H31" s="143" t="str">
        <f ca="1">IF(ISBLANK(INDIRECT(ADDRESS(K31*2+2,3))),"",INDIRECT(ADDRESS(K31*2+2,3)))</f>
        <v>Поляков Алексей</v>
      </c>
      <c r="I31" s="141"/>
      <c r="J31" s="141"/>
      <c r="K31" s="53">
        <v>1</v>
      </c>
      <c r="L31" s="56" t="s">
        <v>10</v>
      </c>
      <c r="M31" s="73">
        <v>2</v>
      </c>
    </row>
    <row r="32" spans="1:13" s="52" customFormat="1" ht="30" customHeight="1" thickBot="1" x14ac:dyDescent="0.4">
      <c r="A32" s="51"/>
      <c r="B32" s="53">
        <v>4</v>
      </c>
      <c r="C32" s="141" t="str">
        <f ca="1">IF(ISBLANK(INDIRECT(ADDRESS(B32*2+2,3))),"",INDIRECT(ADDRESS(B32*2+2,3)))</f>
        <v>Тарасов Константин</v>
      </c>
      <c r="D32" s="141"/>
      <c r="E32" s="142"/>
      <c r="F32" s="54">
        <v>13</v>
      </c>
      <c r="G32" s="55">
        <v>6</v>
      </c>
      <c r="H32" s="143" t="str">
        <f ca="1">IF(ISBLANK(INDIRECT(ADDRESS(K32*2+2,3))),"",INDIRECT(ADDRESS(K32*2+2,3)))</f>
        <v>Вдовенко Виталий</v>
      </c>
      <c r="I32" s="141"/>
      <c r="J32" s="141"/>
      <c r="K32" s="53">
        <v>5</v>
      </c>
      <c r="L32" s="56" t="s">
        <v>10</v>
      </c>
      <c r="M32" s="73">
        <v>1</v>
      </c>
    </row>
    <row r="33" spans="1:13" s="52" customFormat="1" ht="30" customHeight="1" x14ac:dyDescent="0.35">
      <c r="A33" s="51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M34" s="57"/>
    </row>
    <row r="35" spans="1:13" s="52" customFormat="1" ht="30" customHeight="1" thickBot="1" x14ac:dyDescent="0.4">
      <c r="A35" s="51"/>
      <c r="B35" s="53">
        <v>6</v>
      </c>
      <c r="C35" s="141" t="str">
        <f ca="1">IF(ISBLANK(INDIRECT(ADDRESS(B35*2+2,3))),"",INDIRECT(ADDRESS(B35*2+2,3)))</f>
        <v>Педченко Александр</v>
      </c>
      <c r="D35" s="141"/>
      <c r="E35" s="142"/>
      <c r="F35" s="54">
        <v>11</v>
      </c>
      <c r="G35" s="55">
        <v>13</v>
      </c>
      <c r="H35" s="143" t="str">
        <f ca="1">IF(ISBLANK(INDIRECT(ADDRESS(K35*2+2,3))),"",INDIRECT(ADDRESS(K35*2+2,3)))</f>
        <v>Вдовенко Виталий</v>
      </c>
      <c r="I35" s="141"/>
      <c r="J35" s="141"/>
      <c r="K35" s="53">
        <v>5</v>
      </c>
      <c r="L35" s="56" t="s">
        <v>10</v>
      </c>
      <c r="M35" s="73">
        <v>6</v>
      </c>
    </row>
    <row r="36" spans="1:13" s="52" customFormat="1" ht="30" customHeight="1" thickBot="1" x14ac:dyDescent="0.4">
      <c r="A36" s="51"/>
      <c r="B36" s="53">
        <v>1</v>
      </c>
      <c r="C36" s="141" t="str">
        <f ca="1">IF(ISBLANK(INDIRECT(ADDRESS(B36*2+2,3))),"",INDIRECT(ADDRESS(B36*2+2,3)))</f>
        <v>Поляков Алексей</v>
      </c>
      <c r="D36" s="141"/>
      <c r="E36" s="142"/>
      <c r="F36" s="54">
        <v>5</v>
      </c>
      <c r="G36" s="55">
        <v>10</v>
      </c>
      <c r="H36" s="143" t="str">
        <f ca="1">IF(ISBLANK(INDIRECT(ADDRESS(K36*2+2,3))),"",INDIRECT(ADDRESS(K36*2+2,3)))</f>
        <v>Тарасов Константин</v>
      </c>
      <c r="I36" s="141"/>
      <c r="J36" s="141"/>
      <c r="K36" s="53">
        <v>4</v>
      </c>
      <c r="L36" s="56" t="s">
        <v>10</v>
      </c>
      <c r="M36" s="73">
        <v>5</v>
      </c>
    </row>
    <row r="37" spans="1:13" s="52" customFormat="1" ht="30" customHeight="1" thickBot="1" x14ac:dyDescent="0.4">
      <c r="A37" s="51"/>
      <c r="B37" s="53">
        <v>2</v>
      </c>
      <c r="C37" s="141" t="str">
        <f ca="1">IF(ISBLANK(INDIRECT(ADDRESS(B37*2+2,3))),"",INDIRECT(ADDRESS(B37*2+2,3)))</f>
        <v>Давыдов Андрей</v>
      </c>
      <c r="D37" s="141"/>
      <c r="E37" s="142"/>
      <c r="F37" s="54">
        <v>12</v>
      </c>
      <c r="G37" s="55">
        <v>13</v>
      </c>
      <c r="H37" s="143" t="str">
        <f ca="1">IF(ISBLANK(INDIRECT(ADDRESS(K37*2+2,3))),"",INDIRECT(ADDRESS(K37*2+2,3)))</f>
        <v>Бейгер Максим</v>
      </c>
      <c r="I37" s="141"/>
      <c r="J37" s="141"/>
      <c r="K37" s="53">
        <v>3</v>
      </c>
      <c r="L37" s="56" t="s">
        <v>10</v>
      </c>
      <c r="M37" s="73">
        <v>4</v>
      </c>
    </row>
    <row r="38" spans="1:13" s="52" customFormat="1" ht="30" customHeight="1" x14ac:dyDescent="0.35">
      <c r="A38" s="51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M39" s="57"/>
    </row>
    <row r="40" spans="1:13" s="52" customFormat="1" ht="30" customHeight="1" thickBot="1" x14ac:dyDescent="0.4">
      <c r="A40" s="51"/>
      <c r="B40" s="53">
        <v>3</v>
      </c>
      <c r="C40" s="141" t="str">
        <f ca="1">IF(ISBLANK(INDIRECT(ADDRESS(B40*2+2,3))),"",INDIRECT(ADDRESS(B40*2+2,3)))</f>
        <v>Бейгер Максим</v>
      </c>
      <c r="D40" s="141"/>
      <c r="E40" s="142"/>
      <c r="F40" s="54">
        <v>13</v>
      </c>
      <c r="G40" s="55">
        <v>6</v>
      </c>
      <c r="H40" s="143" t="str">
        <f ca="1">IF(ISBLANK(INDIRECT(ADDRESS(K40*2+2,3))),"",INDIRECT(ADDRESS(K40*2+2,3)))</f>
        <v>Педченко Александр</v>
      </c>
      <c r="I40" s="141"/>
      <c r="J40" s="141"/>
      <c r="K40" s="53">
        <v>6</v>
      </c>
      <c r="L40" s="56" t="s">
        <v>10</v>
      </c>
      <c r="M40" s="73">
        <v>1</v>
      </c>
    </row>
    <row r="41" spans="1:13" s="52" customFormat="1" ht="30" customHeight="1" thickBot="1" x14ac:dyDescent="0.4">
      <c r="A41" s="51"/>
      <c r="B41" s="53">
        <v>4</v>
      </c>
      <c r="C41" s="141" t="str">
        <f ca="1">IF(ISBLANK(INDIRECT(ADDRESS(B41*2+2,3))),"",INDIRECT(ADDRESS(B41*2+2,3)))</f>
        <v>Тарасов Константин</v>
      </c>
      <c r="D41" s="141"/>
      <c r="E41" s="142"/>
      <c r="F41" s="54">
        <v>6</v>
      </c>
      <c r="G41" s="55">
        <v>13</v>
      </c>
      <c r="H41" s="143" t="str">
        <f ca="1">IF(ISBLANK(INDIRECT(ADDRESS(K41*2+2,3))),"",INDIRECT(ADDRESS(K41*2+2,3)))</f>
        <v>Давыдов Андрей</v>
      </c>
      <c r="I41" s="141"/>
      <c r="J41" s="141"/>
      <c r="K41" s="53">
        <v>2</v>
      </c>
      <c r="L41" s="56" t="s">
        <v>10</v>
      </c>
      <c r="M41" s="73">
        <v>2</v>
      </c>
    </row>
    <row r="42" spans="1:13" s="52" customFormat="1" ht="30" customHeight="1" thickBot="1" x14ac:dyDescent="0.4">
      <c r="A42" s="51"/>
      <c r="B42" s="53">
        <v>5</v>
      </c>
      <c r="C42" s="141" t="str">
        <f ca="1">IF(ISBLANK(INDIRECT(ADDRESS(B42*2+2,3))),"",INDIRECT(ADDRESS(B42*2+2,3)))</f>
        <v>Вдовенко Виталий</v>
      </c>
      <c r="D42" s="141"/>
      <c r="E42" s="142"/>
      <c r="F42" s="54">
        <v>13</v>
      </c>
      <c r="G42" s="55">
        <v>4</v>
      </c>
      <c r="H42" s="143" t="str">
        <f ca="1">IF(ISBLANK(INDIRECT(ADDRESS(K42*2+2,3))),"",INDIRECT(ADDRESS(K42*2+2,3)))</f>
        <v>Поляков Алексей</v>
      </c>
      <c r="I42" s="141"/>
      <c r="J42" s="141"/>
      <c r="K42" s="53">
        <v>1</v>
      </c>
      <c r="L42" s="56" t="s">
        <v>10</v>
      </c>
      <c r="M42" s="73">
        <v>3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S11" sqref="S11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4" width="10.28515625" customWidth="1"/>
  </cols>
  <sheetData>
    <row r="1" spans="1:14" ht="38.25" customHeight="1" x14ac:dyDescent="0.25">
      <c r="B1" s="147" t="s">
        <v>131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45682</v>
      </c>
    </row>
    <row r="2" spans="1:14" ht="15.75" thickBot="1" x14ac:dyDescent="0.3">
      <c r="A2"/>
      <c r="M2"/>
    </row>
    <row r="3" spans="1:14" ht="30" customHeight="1" thickBot="1" x14ac:dyDescent="0.3">
      <c r="A3"/>
      <c r="B3" s="75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1:14" ht="24" customHeight="1" x14ac:dyDescent="0.25">
      <c r="A4"/>
      <c r="B4" s="94">
        <v>1</v>
      </c>
      <c r="C4" s="194" t="s">
        <v>132</v>
      </c>
      <c r="D4" s="195"/>
      <c r="E4" s="196"/>
      <c r="F4" s="10" t="s">
        <v>30</v>
      </c>
      <c r="G4" s="6" t="str">
        <f ca="1">INDIRECT(ADDRESS(42,6))&amp;":"&amp;INDIRECT(ADDRESS(42,7))</f>
        <v>13:5</v>
      </c>
      <c r="H4" s="6" t="str">
        <f ca="1">INDIRECT(ADDRESS(36,7))&amp;":"&amp;INDIRECT(ADDRESS(36,6))</f>
        <v>13:4</v>
      </c>
      <c r="I4" s="6" t="str">
        <f ca="1">INDIRECT(ADDRESS(26,6))&amp;":"&amp;INDIRECT(ADDRESS(26,7))</f>
        <v>2:13</v>
      </c>
      <c r="J4" s="6" t="str">
        <f ca="1">INDIRECT(ADDRESS(32,7))&amp;":"&amp;INDIRECT(ADDRESS(32,6))</f>
        <v>6:13</v>
      </c>
      <c r="K4" s="20" t="str">
        <f ca="1">INDIRECT(ADDRESS(20,6))&amp;":"&amp;INDIRECT(ADDRESS(20,7))</f>
        <v>8:13</v>
      </c>
      <c r="L4" s="197">
        <f ca="1">IF(COUNT(F5:K5)=0,"",COUNTIF(F5:K5,"&gt;0")+0.5*COUNTIF(F5:K5,0))</f>
        <v>2</v>
      </c>
      <c r="M4" s="23"/>
      <c r="N4" s="88">
        <v>4</v>
      </c>
    </row>
    <row r="5" spans="1:14" ht="24" customHeight="1" x14ac:dyDescent="0.25">
      <c r="A5"/>
      <c r="B5" s="95"/>
      <c r="C5" s="133"/>
      <c r="D5" s="134"/>
      <c r="E5" s="135"/>
      <c r="F5" s="13" t="s">
        <v>30</v>
      </c>
      <c r="G5" s="16">
        <f ca="1">IF(LEN(INDIRECT(ADDRESS(ROW()-1, COLUMN())))=1,"",INDIRECT(ADDRESS(42,6))-INDIRECT(ADDRESS(42,7)))</f>
        <v>8</v>
      </c>
      <c r="H5" s="16">
        <f ca="1">IF(LEN(INDIRECT(ADDRESS(ROW()-1, COLUMN())))=1,"",INDIRECT(ADDRESS(36,7))-INDIRECT(ADDRESS(36,6)))</f>
        <v>9</v>
      </c>
      <c r="I5" s="16">
        <f ca="1">IF(LEN(INDIRECT(ADDRESS(ROW()-1, COLUMN())))=1,"",INDIRECT(ADDRESS(26,6))-INDIRECT(ADDRESS(26,7)))</f>
        <v>-11</v>
      </c>
      <c r="J5" s="16">
        <f ca="1">IF(LEN(INDIRECT(ADDRESS(ROW()-1, COLUMN())))=1,"",INDIRECT(ADDRESS(32,7))-INDIRECT(ADDRESS(32,6)))</f>
        <v>-7</v>
      </c>
      <c r="K5" s="17">
        <f ca="1">IF(LEN(INDIRECT(ADDRESS(ROW()-1, COLUMN())))=1,"",INDIRECT(ADDRESS(20,6))-INDIRECT(ADDRESS(20,7)))</f>
        <v>-5</v>
      </c>
      <c r="L5" s="102"/>
      <c r="M5" s="16">
        <f ca="1">IF(COUNT(F5:K5)=0,"",SUM(F5:K5))</f>
        <v>-6</v>
      </c>
      <c r="N5" s="89"/>
    </row>
    <row r="6" spans="1:14" ht="24" customHeight="1" x14ac:dyDescent="0.25">
      <c r="A6"/>
      <c r="B6" s="104">
        <v>2</v>
      </c>
      <c r="C6" s="191" t="s">
        <v>133</v>
      </c>
      <c r="D6" s="192"/>
      <c r="E6" s="193"/>
      <c r="F6" s="12" t="str">
        <f ca="1">INDIRECT(ADDRESS(42,7))&amp;":"&amp;INDIRECT(ADDRESS(42,6))</f>
        <v>5:13</v>
      </c>
      <c r="G6" s="8" t="s">
        <v>30</v>
      </c>
      <c r="H6" s="7" t="str">
        <f ca="1">INDIRECT(ADDRESS(27,6))&amp;":"&amp;INDIRECT(ADDRESS(27,7))</f>
        <v>3:13</v>
      </c>
      <c r="I6" s="7" t="str">
        <f ca="1">INDIRECT(ADDRESS(31,7))&amp;":"&amp;INDIRECT(ADDRESS(31,6))</f>
        <v>3:13</v>
      </c>
      <c r="J6" s="7" t="str">
        <f ca="1">INDIRECT(ADDRESS(21,6))&amp;":"&amp;INDIRECT(ADDRESS(21,7))</f>
        <v>7:13</v>
      </c>
      <c r="K6" s="11" t="str">
        <f ca="1">INDIRECT(ADDRESS(35,6))&amp;":"&amp;INDIRECT(ADDRESS(35,7))</f>
        <v>4:13</v>
      </c>
      <c r="L6" s="183">
        <f ca="1">IF(COUNT(F7:K7)=0,"",COUNTIF(F7:K7,"&gt;0")+0.5*COUNTIF(F7:K7,0))</f>
        <v>0</v>
      </c>
      <c r="M6" s="16"/>
      <c r="N6" s="110">
        <v>6</v>
      </c>
    </row>
    <row r="7" spans="1:14" ht="24" customHeight="1" x14ac:dyDescent="0.25">
      <c r="A7"/>
      <c r="B7" s="95"/>
      <c r="C7" s="133"/>
      <c r="D7" s="134"/>
      <c r="E7" s="135"/>
      <c r="F7" s="22">
        <f ca="1">IF(LEN(INDIRECT(ADDRESS(ROW()-1, COLUMN())))=1,"",INDIRECT(ADDRESS(42,7))-INDIRECT(ADDRESS(42,6)))</f>
        <v>-8</v>
      </c>
      <c r="G7" s="14" t="s">
        <v>30</v>
      </c>
      <c r="H7" s="16">
        <f ca="1">IF(LEN(INDIRECT(ADDRESS(ROW()-1, COLUMN())))=1,"",INDIRECT(ADDRESS(27,6))-INDIRECT(ADDRESS(27,7)))</f>
        <v>-10</v>
      </c>
      <c r="I7" s="16">
        <f ca="1">IF(LEN(INDIRECT(ADDRESS(ROW()-1, COLUMN())))=1,"",INDIRECT(ADDRESS(31,7))-INDIRECT(ADDRESS(31,6)))</f>
        <v>-10</v>
      </c>
      <c r="J7" s="16">
        <f ca="1">IF(LEN(INDIRECT(ADDRESS(ROW()-1, COLUMN())))=1,"",INDIRECT(ADDRESS(21,6))-INDIRECT(ADDRESS(21,7)))</f>
        <v>-6</v>
      </c>
      <c r="K7" s="17">
        <f ca="1">IF(LEN(INDIRECT(ADDRESS(ROW()-1, COLUMN())))=1,"",INDIRECT(ADDRESS(35,6))-INDIRECT(ADDRESS(35,7)))</f>
        <v>-9</v>
      </c>
      <c r="L7" s="102"/>
      <c r="M7" s="16">
        <f ca="1">IF(COUNT(F7:K7)=0,"",SUM(F7:K7))</f>
        <v>-43</v>
      </c>
      <c r="N7" s="89"/>
    </row>
    <row r="8" spans="1:14" ht="24" customHeight="1" x14ac:dyDescent="0.25">
      <c r="A8"/>
      <c r="B8" s="104">
        <v>3</v>
      </c>
      <c r="C8" s="191" t="s">
        <v>134</v>
      </c>
      <c r="D8" s="192"/>
      <c r="E8" s="193"/>
      <c r="F8" s="12" t="str">
        <f ca="1">INDIRECT(ADDRESS(36,6))&amp;":"&amp;INDIRECT(ADDRESS(36,7))</f>
        <v>4:13</v>
      </c>
      <c r="G8" s="7" t="str">
        <f ca="1">INDIRECT(ADDRESS(27,7))&amp;":"&amp;INDIRECT(ADDRESS(27,6))</f>
        <v>13:3</v>
      </c>
      <c r="H8" s="8" t="s">
        <v>30</v>
      </c>
      <c r="I8" s="7" t="str">
        <f ca="1">INDIRECT(ADDRESS(22,6))&amp;":"&amp;INDIRECT(ADDRESS(22,7))</f>
        <v>8:13</v>
      </c>
      <c r="J8" s="7" t="str">
        <f ca="1">INDIRECT(ADDRESS(41,7))&amp;":"&amp;INDIRECT(ADDRESS(41,6))</f>
        <v>2:13</v>
      </c>
      <c r="K8" s="11" t="str">
        <f ca="1">INDIRECT(ADDRESS(30,6))&amp;":"&amp;INDIRECT(ADDRESS(30,7))</f>
        <v>8:13</v>
      </c>
      <c r="L8" s="183">
        <f ca="1">IF(COUNT(F9:K9)=0,"",COUNTIF(F9:K9,"&gt;0")+0.5*COUNTIF(F9:K9,0))</f>
        <v>1</v>
      </c>
      <c r="M8" s="16"/>
      <c r="N8" s="110">
        <v>5</v>
      </c>
    </row>
    <row r="9" spans="1:14" ht="24" customHeight="1" x14ac:dyDescent="0.25">
      <c r="A9"/>
      <c r="B9" s="95"/>
      <c r="C9" s="133"/>
      <c r="D9" s="134"/>
      <c r="E9" s="135"/>
      <c r="F9" s="22">
        <f ca="1">IF(LEN(INDIRECT(ADDRESS(ROW()-1, COLUMN())))=1,"",INDIRECT(ADDRESS(36,6))-INDIRECT(ADDRESS(36,7)))</f>
        <v>-9</v>
      </c>
      <c r="G9" s="16">
        <f ca="1">IF(LEN(INDIRECT(ADDRESS(ROW()-1, COLUMN())))=1,"",INDIRECT(ADDRESS(27,7))-INDIRECT(ADDRESS(27,6)))</f>
        <v>10</v>
      </c>
      <c r="H9" s="14" t="s">
        <v>30</v>
      </c>
      <c r="I9" s="16">
        <f ca="1">IF(LEN(INDIRECT(ADDRESS(ROW()-1, COLUMN())))=1,"",INDIRECT(ADDRESS(22,6))-INDIRECT(ADDRESS(22,7)))</f>
        <v>-5</v>
      </c>
      <c r="J9" s="16">
        <f ca="1">IF(LEN(INDIRECT(ADDRESS(ROW()-1, COLUMN())))=1,"",INDIRECT(ADDRESS(41,7))-INDIRECT(ADDRESS(41,6)))</f>
        <v>-11</v>
      </c>
      <c r="K9" s="17">
        <f ca="1">IF(LEN(INDIRECT(ADDRESS(ROW()-1, COLUMN())))=1,"",INDIRECT(ADDRESS(30,6))-INDIRECT(ADDRESS(30,7)))</f>
        <v>-5</v>
      </c>
      <c r="L9" s="102"/>
      <c r="M9" s="16">
        <f ca="1">IF(COUNT(F9:K9)=0,"",SUM(F9:K9))</f>
        <v>-20</v>
      </c>
      <c r="N9" s="89"/>
    </row>
    <row r="10" spans="1:14" ht="24" customHeight="1" x14ac:dyDescent="0.25">
      <c r="A10"/>
      <c r="B10" s="104">
        <v>4</v>
      </c>
      <c r="C10" s="177" t="s">
        <v>135</v>
      </c>
      <c r="D10" s="178"/>
      <c r="E10" s="179"/>
      <c r="F10" s="12" t="str">
        <f ca="1">INDIRECT(ADDRESS(26,7))&amp;":"&amp;INDIRECT(ADDRESS(26,6))</f>
        <v>13:2</v>
      </c>
      <c r="G10" s="7" t="str">
        <f ca="1">INDIRECT(ADDRESS(31,6))&amp;":"&amp;INDIRECT(ADDRESS(31,7))</f>
        <v>13:3</v>
      </c>
      <c r="H10" s="7" t="str">
        <f ca="1">INDIRECT(ADDRESS(22,7))&amp;":"&amp;INDIRECT(ADDRESS(22,6))</f>
        <v>13:8</v>
      </c>
      <c r="I10" s="8" t="s">
        <v>30</v>
      </c>
      <c r="J10" s="7" t="str">
        <f ca="1">INDIRECT(ADDRESS(37,6))&amp;":"&amp;INDIRECT(ADDRESS(37,7))</f>
        <v>13:8</v>
      </c>
      <c r="K10" s="11" t="str">
        <f ca="1">INDIRECT(ADDRESS(40,7))&amp;":"&amp;INDIRECT(ADDRESS(40,6))</f>
        <v>13:8</v>
      </c>
      <c r="L10" s="183">
        <f ca="1">IF(COUNT(F11:K11)=0,"",COUNTIF(F11:K11,"&gt;0")+0.5*COUNTIF(F11:K11,0))</f>
        <v>5</v>
      </c>
      <c r="M10" s="16"/>
      <c r="N10" s="110">
        <v>1</v>
      </c>
    </row>
    <row r="11" spans="1:14" ht="24" customHeight="1" x14ac:dyDescent="0.25">
      <c r="A11"/>
      <c r="B11" s="95"/>
      <c r="C11" s="185"/>
      <c r="D11" s="186"/>
      <c r="E11" s="187"/>
      <c r="F11" s="22">
        <f ca="1">IF(LEN(INDIRECT(ADDRESS(ROW()-1, COLUMN())))=1,"",INDIRECT(ADDRESS(26,7))-INDIRECT(ADDRESS(26,6)))</f>
        <v>11</v>
      </c>
      <c r="G11" s="16">
        <f ca="1">IF(LEN(INDIRECT(ADDRESS(ROW()-1, COLUMN())))=1,"",INDIRECT(ADDRESS(31,6))-INDIRECT(ADDRESS(31,7)))</f>
        <v>10</v>
      </c>
      <c r="H11" s="16">
        <f ca="1">IF(LEN(INDIRECT(ADDRESS(ROW()-1, COLUMN())))=1,"",INDIRECT(ADDRESS(22,7))-INDIRECT(ADDRESS(22,6)))</f>
        <v>5</v>
      </c>
      <c r="I11" s="14" t="s">
        <v>30</v>
      </c>
      <c r="J11" s="16">
        <f ca="1">IF(LEN(INDIRECT(ADDRESS(ROW()-1, COLUMN())))=1,"",INDIRECT(ADDRESS(37,6))-INDIRECT(ADDRESS(37,7)))</f>
        <v>5</v>
      </c>
      <c r="K11" s="17">
        <f ca="1">IF(LEN(INDIRECT(ADDRESS(ROW()-1, COLUMN())))=1,"",INDIRECT(ADDRESS(40,7))-INDIRECT(ADDRESS(40,6)))</f>
        <v>5</v>
      </c>
      <c r="L11" s="102"/>
      <c r="M11" s="16">
        <f ca="1">IF(COUNT(F11:K11)=0,"",SUM(F11:K11))</f>
        <v>36</v>
      </c>
      <c r="N11" s="89"/>
    </row>
    <row r="12" spans="1:14" ht="24" customHeight="1" x14ac:dyDescent="0.25">
      <c r="A12"/>
      <c r="B12" s="104">
        <v>5</v>
      </c>
      <c r="C12" s="188" t="s">
        <v>136</v>
      </c>
      <c r="D12" s="189"/>
      <c r="E12" s="190"/>
      <c r="F12" s="12" t="str">
        <f ca="1">INDIRECT(ADDRESS(32,6))&amp;":"&amp;INDIRECT(ADDRESS(32,7))</f>
        <v>13:6</v>
      </c>
      <c r="G12" s="7" t="str">
        <f ca="1">INDIRECT(ADDRESS(21,7))&amp;":"&amp;INDIRECT(ADDRESS(21,6))</f>
        <v>13:7</v>
      </c>
      <c r="H12" s="7" t="str">
        <f ca="1">INDIRECT(ADDRESS(41,6))&amp;":"&amp;INDIRECT(ADDRESS(41,7))</f>
        <v>13:2</v>
      </c>
      <c r="I12" s="7" t="str">
        <f ca="1">INDIRECT(ADDRESS(37,7))&amp;":"&amp;INDIRECT(ADDRESS(37,6))</f>
        <v>8:13</v>
      </c>
      <c r="J12" s="8" t="s">
        <v>30</v>
      </c>
      <c r="K12" s="11" t="str">
        <f ca="1">INDIRECT(ADDRESS(25,7))&amp;":"&amp;INDIRECT(ADDRESS(25,6))</f>
        <v>3:13</v>
      </c>
      <c r="L12" s="183">
        <f ca="1">IF(COUNT(F13:K13)=0,"",COUNTIF(F13:K13,"&gt;0")+0.5*COUNTIF(F13:K13,0))</f>
        <v>3</v>
      </c>
      <c r="M12" s="16"/>
      <c r="N12" s="110">
        <v>3</v>
      </c>
    </row>
    <row r="13" spans="1:14" ht="24" customHeight="1" x14ac:dyDescent="0.25">
      <c r="A13"/>
      <c r="B13" s="95"/>
      <c r="C13" s="120"/>
      <c r="D13" s="121"/>
      <c r="E13" s="122"/>
      <c r="F13" s="22">
        <f ca="1">IF(LEN(INDIRECT(ADDRESS(ROW()-1, COLUMN())))=1,"",INDIRECT(ADDRESS(32,6))-INDIRECT(ADDRESS(32,7)))</f>
        <v>7</v>
      </c>
      <c r="G13" s="16">
        <f ca="1">IF(LEN(INDIRECT(ADDRESS(ROW()-1, COLUMN())))=1,"",INDIRECT(ADDRESS(21,7))-INDIRECT(ADDRESS(21,6)))</f>
        <v>6</v>
      </c>
      <c r="H13" s="16">
        <f ca="1">IF(LEN(INDIRECT(ADDRESS(ROW()-1, COLUMN())))=1,"",INDIRECT(ADDRESS(41,6))-INDIRECT(ADDRESS(41,7)))</f>
        <v>11</v>
      </c>
      <c r="I13" s="16">
        <f ca="1">IF(LEN(INDIRECT(ADDRESS(ROW()-1, COLUMN())))=1,"",INDIRECT(ADDRESS(37,7))-INDIRECT(ADDRESS(37,6)))</f>
        <v>-5</v>
      </c>
      <c r="J13" s="14" t="s">
        <v>30</v>
      </c>
      <c r="K13" s="17">
        <f ca="1">IF(LEN(INDIRECT(ADDRESS(ROW()-1, COLUMN())))=1,"",INDIRECT(ADDRESS(25,7))-INDIRECT(ADDRESS(25,6)))</f>
        <v>-10</v>
      </c>
      <c r="L13" s="102"/>
      <c r="M13" s="16">
        <f ca="1">IF(COUNT(F13:K13)=0,"",SUM(F13:K13))</f>
        <v>9</v>
      </c>
      <c r="N13" s="89"/>
    </row>
    <row r="14" spans="1:14" ht="24" customHeight="1" x14ac:dyDescent="0.25">
      <c r="A14"/>
      <c r="B14" s="104">
        <v>6</v>
      </c>
      <c r="C14" s="177" t="s">
        <v>137</v>
      </c>
      <c r="D14" s="178"/>
      <c r="E14" s="179"/>
      <c r="F14" s="12" t="str">
        <f ca="1">INDIRECT(ADDRESS(20,7))&amp;":"&amp;INDIRECT(ADDRESS(20,6))</f>
        <v>13:8</v>
      </c>
      <c r="G14" s="7" t="str">
        <f ca="1">INDIRECT(ADDRESS(35,7))&amp;":"&amp;INDIRECT(ADDRESS(35,6))</f>
        <v>13:4</v>
      </c>
      <c r="H14" s="7" t="str">
        <f ca="1">INDIRECT(ADDRESS(30,7))&amp;":"&amp;INDIRECT(ADDRESS(30,6))</f>
        <v>13:8</v>
      </c>
      <c r="I14" s="7" t="str">
        <f ca="1">INDIRECT(ADDRESS(40,6))&amp;":"&amp;INDIRECT(ADDRESS(40,7))</f>
        <v>8:13</v>
      </c>
      <c r="J14" s="7" t="str">
        <f ca="1">INDIRECT(ADDRESS(25,6))&amp;":"&amp;INDIRECT(ADDRESS(25,7))</f>
        <v>13:3</v>
      </c>
      <c r="K14" s="50" t="s">
        <v>30</v>
      </c>
      <c r="L14" s="183">
        <f ca="1">IF(COUNT(F15:K15)=0,"",COUNTIF(F15:K15,"&gt;0")+0.5*COUNTIF(F15:K15,0))</f>
        <v>4</v>
      </c>
      <c r="M14" s="16"/>
      <c r="N14" s="110">
        <v>2</v>
      </c>
    </row>
    <row r="15" spans="1:14" ht="24" customHeight="1" thickBot="1" x14ac:dyDescent="0.3">
      <c r="A15"/>
      <c r="B15" s="119"/>
      <c r="C15" s="180"/>
      <c r="D15" s="181"/>
      <c r="E15" s="182"/>
      <c r="F15" s="19">
        <f ca="1">IF(LEN(INDIRECT(ADDRESS(ROW()-1, COLUMN())))=1,"",INDIRECT(ADDRESS(20,7))-INDIRECT(ADDRESS(20,6)))</f>
        <v>5</v>
      </c>
      <c r="G15" s="18">
        <f ca="1">IF(LEN(INDIRECT(ADDRESS(ROW()-1, COLUMN())))=1,"",INDIRECT(ADDRESS(35,7))-INDIRECT(ADDRESS(35,6)))</f>
        <v>9</v>
      </c>
      <c r="H15" s="18">
        <f ca="1">IF(LEN(INDIRECT(ADDRESS(ROW()-1, COLUMN())))=1,"",INDIRECT(ADDRESS(30,7))-INDIRECT(ADDRESS(30,6)))</f>
        <v>5</v>
      </c>
      <c r="I15" s="18">
        <f ca="1">IF(LEN(INDIRECT(ADDRESS(ROW()-1, COLUMN())))=1,"",INDIRECT(ADDRESS(40,6))-INDIRECT(ADDRESS(40,7)))</f>
        <v>-5</v>
      </c>
      <c r="J15" s="18">
        <f ca="1">IF(LEN(INDIRECT(ADDRESS(ROW()-1, COLUMN())))=1,"",INDIRECT(ADDRESS(25,6))-INDIRECT(ADDRESS(25,7)))</f>
        <v>10</v>
      </c>
      <c r="K15" s="15" t="s">
        <v>30</v>
      </c>
      <c r="L15" s="184"/>
      <c r="M15" s="18">
        <f ca="1">IF(COUNT(F15:K15)=0,"",SUM(F15:K15))</f>
        <v>24</v>
      </c>
      <c r="N15" s="146"/>
    </row>
    <row r="16" spans="1:14" ht="12" customHeight="1" x14ac:dyDescent="0.25">
      <c r="A16"/>
      <c r="M16"/>
    </row>
    <row r="17" spans="1:13" ht="11.25" customHeight="1" x14ac:dyDescent="0.25">
      <c r="M17"/>
    </row>
    <row r="18" spans="1:13" ht="10.5" customHeight="1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77">
        <v>1</v>
      </c>
      <c r="C20" s="174" t="str">
        <f ca="1">IF(ISBLANK(INDIRECT(ADDRESS(B20*2+2,3))),"",INDIRECT(ADDRESS(B20*2+2,3)))</f>
        <v>Банщиков</v>
      </c>
      <c r="D20" s="174"/>
      <c r="E20" s="175"/>
      <c r="F20" s="78">
        <v>8</v>
      </c>
      <c r="G20" s="79">
        <v>13</v>
      </c>
      <c r="H20" s="176" t="str">
        <f ca="1">IF(ISBLANK(INDIRECT(ADDRESS(K20*2+2,3))),"",INDIRECT(ADDRESS(K20*2+2,3)))</f>
        <v>Федотовский О.</v>
      </c>
      <c r="I20" s="174"/>
      <c r="J20" s="174"/>
      <c r="K20" s="77">
        <v>6</v>
      </c>
      <c r="L20" s="80" t="s">
        <v>10</v>
      </c>
      <c r="M20" s="81">
        <v>3</v>
      </c>
    </row>
    <row r="21" spans="1:13" s="52" customFormat="1" ht="30" customHeight="1" thickBot="1" x14ac:dyDescent="0.4">
      <c r="A21" s="51"/>
      <c r="B21" s="77">
        <v>2</v>
      </c>
      <c r="C21" s="171" t="str">
        <f ca="1">IF(ISBLANK(INDIRECT(ADDRESS(B21*2+2,3))),"",INDIRECT(ADDRESS(B21*2+2,3)))</f>
        <v>Федотовский М.</v>
      </c>
      <c r="D21" s="171"/>
      <c r="E21" s="172"/>
      <c r="F21" s="78">
        <v>7</v>
      </c>
      <c r="G21" s="79">
        <v>13</v>
      </c>
      <c r="H21" s="173" t="str">
        <f ca="1">IF(ISBLANK(INDIRECT(ADDRESS(K21*2+2,3))),"",INDIRECT(ADDRESS(K21*2+2,3)))</f>
        <v>Шундрин А.</v>
      </c>
      <c r="I21" s="171"/>
      <c r="J21" s="171"/>
      <c r="K21" s="77">
        <v>5</v>
      </c>
      <c r="L21" s="80" t="s">
        <v>10</v>
      </c>
      <c r="M21" s="81">
        <v>4</v>
      </c>
    </row>
    <row r="22" spans="1:13" s="52" customFormat="1" ht="30" customHeight="1" thickBot="1" x14ac:dyDescent="0.4">
      <c r="A22" s="51"/>
      <c r="B22" s="77">
        <v>3</v>
      </c>
      <c r="C22" s="171" t="str">
        <f ca="1">IF(ISBLANK(INDIRECT(ADDRESS(B22*2+2,3))),"",INDIRECT(ADDRESS(B22*2+2,3)))</f>
        <v>Душечкин</v>
      </c>
      <c r="D22" s="171"/>
      <c r="E22" s="172"/>
      <c r="F22" s="78">
        <v>8</v>
      </c>
      <c r="G22" s="79">
        <v>13</v>
      </c>
      <c r="H22" s="173" t="str">
        <f ca="1">IF(ISBLANK(INDIRECT(ADDRESS(K22*2+2,3))),"",INDIRECT(ADDRESS(K22*2+2,3)))</f>
        <v>Трутнев</v>
      </c>
      <c r="I22" s="171"/>
      <c r="J22" s="171"/>
      <c r="K22" s="77">
        <v>4</v>
      </c>
      <c r="L22" s="80" t="s">
        <v>10</v>
      </c>
      <c r="M22" s="81">
        <v>5</v>
      </c>
    </row>
    <row r="23" spans="1:13" s="52" customFormat="1" ht="14.25" customHeight="1" x14ac:dyDescent="0.35">
      <c r="A23" s="51"/>
      <c r="L23" s="82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82"/>
      <c r="M24" s="57"/>
    </row>
    <row r="25" spans="1:13" s="52" customFormat="1" ht="30" customHeight="1" thickBot="1" x14ac:dyDescent="0.4">
      <c r="A25" s="51"/>
      <c r="B25" s="77">
        <v>6</v>
      </c>
      <c r="C25" s="174" t="str">
        <f ca="1">IF(ISBLANK(INDIRECT(ADDRESS(B25*2+2,3))),"",INDIRECT(ADDRESS(B25*2+2,3)))</f>
        <v>Федотовский О.</v>
      </c>
      <c r="D25" s="174"/>
      <c r="E25" s="175"/>
      <c r="F25" s="78">
        <v>13</v>
      </c>
      <c r="G25" s="79">
        <v>3</v>
      </c>
      <c r="H25" s="176" t="str">
        <f ca="1">IF(ISBLANK(INDIRECT(ADDRESS(K25*2+2,3))),"",INDIRECT(ADDRESS(K25*2+2,3)))</f>
        <v>Шундрин А.</v>
      </c>
      <c r="I25" s="174"/>
      <c r="J25" s="174"/>
      <c r="K25" s="77">
        <v>5</v>
      </c>
      <c r="L25" s="80" t="s">
        <v>10</v>
      </c>
      <c r="M25" s="81">
        <v>7</v>
      </c>
    </row>
    <row r="26" spans="1:13" s="52" customFormat="1" ht="30" customHeight="1" thickBot="1" x14ac:dyDescent="0.4">
      <c r="A26" s="51"/>
      <c r="B26" s="77">
        <v>1</v>
      </c>
      <c r="C26" s="171" t="str">
        <f ca="1">IF(ISBLANK(INDIRECT(ADDRESS(B26*2+2,3))),"",INDIRECT(ADDRESS(B26*2+2,3)))</f>
        <v>Банщиков</v>
      </c>
      <c r="D26" s="171"/>
      <c r="E26" s="172"/>
      <c r="F26" s="78">
        <v>2</v>
      </c>
      <c r="G26" s="79">
        <v>13</v>
      </c>
      <c r="H26" s="173" t="str">
        <f ca="1">IF(ISBLANK(INDIRECT(ADDRESS(K26*2+2,3))),"",INDIRECT(ADDRESS(K26*2+2,3)))</f>
        <v>Трутнев</v>
      </c>
      <c r="I26" s="171"/>
      <c r="J26" s="171"/>
      <c r="K26" s="77">
        <v>4</v>
      </c>
      <c r="L26" s="80" t="s">
        <v>10</v>
      </c>
      <c r="M26" s="81">
        <v>8</v>
      </c>
    </row>
    <row r="27" spans="1:13" s="52" customFormat="1" ht="30" customHeight="1" thickBot="1" x14ac:dyDescent="0.4">
      <c r="A27" s="51"/>
      <c r="B27" s="77">
        <v>2</v>
      </c>
      <c r="C27" s="171" t="str">
        <f ca="1">IF(ISBLANK(INDIRECT(ADDRESS(B27*2+2,3))),"",INDIRECT(ADDRESS(B27*2+2,3)))</f>
        <v>Федотовский М.</v>
      </c>
      <c r="D27" s="171"/>
      <c r="E27" s="172"/>
      <c r="F27" s="78">
        <v>3</v>
      </c>
      <c r="G27" s="79">
        <v>13</v>
      </c>
      <c r="H27" s="173" t="str">
        <f ca="1">IF(ISBLANK(INDIRECT(ADDRESS(K27*2+2,3))),"",INDIRECT(ADDRESS(K27*2+2,3)))</f>
        <v>Душечкин</v>
      </c>
      <c r="I27" s="171"/>
      <c r="J27" s="171"/>
      <c r="K27" s="77">
        <v>3</v>
      </c>
      <c r="L27" s="80" t="s">
        <v>10</v>
      </c>
      <c r="M27" s="81">
        <v>9</v>
      </c>
    </row>
    <row r="28" spans="1:13" s="52" customFormat="1" ht="13.5" customHeight="1" x14ac:dyDescent="0.35">
      <c r="A28" s="51"/>
      <c r="L28" s="82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82"/>
      <c r="M29" s="57"/>
    </row>
    <row r="30" spans="1:13" s="52" customFormat="1" ht="30" customHeight="1" thickBot="1" x14ac:dyDescent="0.4">
      <c r="A30" s="51"/>
      <c r="B30" s="77">
        <v>3</v>
      </c>
      <c r="C30" s="174" t="str">
        <f ca="1">IF(ISBLANK(INDIRECT(ADDRESS(B30*2+2,3))),"",INDIRECT(ADDRESS(B30*2+2,3)))</f>
        <v>Душечкин</v>
      </c>
      <c r="D30" s="174"/>
      <c r="E30" s="175"/>
      <c r="F30" s="78">
        <v>8</v>
      </c>
      <c r="G30" s="79">
        <v>13</v>
      </c>
      <c r="H30" s="176" t="str">
        <f ca="1">IF(ISBLANK(INDIRECT(ADDRESS(K30*2+2,3))),"",INDIRECT(ADDRESS(K30*2+2,3)))</f>
        <v>Федотовский О.</v>
      </c>
      <c r="I30" s="174"/>
      <c r="J30" s="174"/>
      <c r="K30" s="77">
        <v>6</v>
      </c>
      <c r="L30" s="80" t="s">
        <v>10</v>
      </c>
      <c r="M30" s="81">
        <v>1</v>
      </c>
    </row>
    <row r="31" spans="1:13" s="52" customFormat="1" ht="30" customHeight="1" thickBot="1" x14ac:dyDescent="0.4">
      <c r="A31" s="51"/>
      <c r="B31" s="77">
        <v>4</v>
      </c>
      <c r="C31" s="171" t="str">
        <f ca="1">IF(ISBLANK(INDIRECT(ADDRESS(B31*2+2,3))),"",INDIRECT(ADDRESS(B31*2+2,3)))</f>
        <v>Трутнев</v>
      </c>
      <c r="D31" s="171"/>
      <c r="E31" s="172"/>
      <c r="F31" s="78">
        <v>13</v>
      </c>
      <c r="G31" s="79">
        <v>3</v>
      </c>
      <c r="H31" s="173" t="str">
        <f ca="1">IF(ISBLANK(INDIRECT(ADDRESS(K31*2+2,3))),"",INDIRECT(ADDRESS(K31*2+2,3)))</f>
        <v>Федотовский М.</v>
      </c>
      <c r="I31" s="171"/>
      <c r="J31" s="171"/>
      <c r="K31" s="77">
        <v>2</v>
      </c>
      <c r="L31" s="80" t="s">
        <v>10</v>
      </c>
      <c r="M31" s="81">
        <v>2</v>
      </c>
    </row>
    <row r="32" spans="1:13" s="52" customFormat="1" ht="30" customHeight="1" thickBot="1" x14ac:dyDescent="0.4">
      <c r="A32" s="51"/>
      <c r="B32" s="77">
        <v>5</v>
      </c>
      <c r="C32" s="171" t="str">
        <f ca="1">IF(ISBLANK(INDIRECT(ADDRESS(B32*2+2,3))),"",INDIRECT(ADDRESS(B32*2+2,3)))</f>
        <v>Шундрин А.</v>
      </c>
      <c r="D32" s="171"/>
      <c r="E32" s="172"/>
      <c r="F32" s="78">
        <v>13</v>
      </c>
      <c r="G32" s="79">
        <v>6</v>
      </c>
      <c r="H32" s="173" t="str">
        <f ca="1">IF(ISBLANK(INDIRECT(ADDRESS(K32*2+2,3))),"",INDIRECT(ADDRESS(K32*2+2,3)))</f>
        <v>Банщиков</v>
      </c>
      <c r="I32" s="171"/>
      <c r="J32" s="171"/>
      <c r="K32" s="77">
        <v>1</v>
      </c>
      <c r="L32" s="80" t="s">
        <v>10</v>
      </c>
      <c r="M32" s="81">
        <v>3</v>
      </c>
    </row>
    <row r="33" spans="1:13" s="52" customFormat="1" ht="12" customHeight="1" x14ac:dyDescent="0.35">
      <c r="A33" s="51"/>
      <c r="L33" s="82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82"/>
      <c r="M34" s="57"/>
    </row>
    <row r="35" spans="1:13" s="52" customFormat="1" ht="30" customHeight="1" thickBot="1" x14ac:dyDescent="0.4">
      <c r="A35" s="51"/>
      <c r="B35" s="77">
        <v>2</v>
      </c>
      <c r="C35" s="174" t="str">
        <f ca="1">IF(ISBLANK(INDIRECT(ADDRESS(B35*2+2,3))),"",INDIRECT(ADDRESS(B35*2+2,3)))</f>
        <v>Федотовский М.</v>
      </c>
      <c r="D35" s="174"/>
      <c r="E35" s="175"/>
      <c r="F35" s="78">
        <v>4</v>
      </c>
      <c r="G35" s="79">
        <v>13</v>
      </c>
      <c r="H35" s="176" t="str">
        <f ca="1">IF(ISBLANK(INDIRECT(ADDRESS(K35*2+2,3))),"",INDIRECT(ADDRESS(K35*2+2,3)))</f>
        <v>Федотовский О.</v>
      </c>
      <c r="I35" s="174"/>
      <c r="J35" s="174"/>
      <c r="K35" s="77">
        <v>6</v>
      </c>
      <c r="L35" s="80" t="s">
        <v>10</v>
      </c>
      <c r="M35" s="81">
        <v>5</v>
      </c>
    </row>
    <row r="36" spans="1:13" s="52" customFormat="1" ht="30" customHeight="1" thickBot="1" x14ac:dyDescent="0.4">
      <c r="A36" s="51"/>
      <c r="B36" s="77">
        <v>3</v>
      </c>
      <c r="C36" s="171" t="str">
        <f ca="1">IF(ISBLANK(INDIRECT(ADDRESS(B36*2+2,3))),"",INDIRECT(ADDRESS(B36*2+2,3)))</f>
        <v>Душечкин</v>
      </c>
      <c r="D36" s="171"/>
      <c r="E36" s="172"/>
      <c r="F36" s="78">
        <v>4</v>
      </c>
      <c r="G36" s="79">
        <v>13</v>
      </c>
      <c r="H36" s="173" t="str">
        <f ca="1">IF(ISBLANK(INDIRECT(ADDRESS(K36*2+2,3))),"",INDIRECT(ADDRESS(K36*2+2,3)))</f>
        <v>Банщиков</v>
      </c>
      <c r="I36" s="171"/>
      <c r="J36" s="171"/>
      <c r="K36" s="77">
        <v>1</v>
      </c>
      <c r="L36" s="80" t="s">
        <v>10</v>
      </c>
      <c r="M36" s="81">
        <v>6</v>
      </c>
    </row>
    <row r="37" spans="1:13" s="52" customFormat="1" ht="30" customHeight="1" thickBot="1" x14ac:dyDescent="0.4">
      <c r="A37" s="51"/>
      <c r="B37" s="77">
        <v>4</v>
      </c>
      <c r="C37" s="171" t="str">
        <f ca="1">IF(ISBLANK(INDIRECT(ADDRESS(B37*2+2,3))),"",INDIRECT(ADDRESS(B37*2+2,3)))</f>
        <v>Трутнев</v>
      </c>
      <c r="D37" s="171"/>
      <c r="E37" s="172"/>
      <c r="F37" s="78">
        <v>13</v>
      </c>
      <c r="G37" s="79">
        <v>8</v>
      </c>
      <c r="H37" s="173" t="str">
        <f ca="1">IF(ISBLANK(INDIRECT(ADDRESS(K37*2+2,3))),"",INDIRECT(ADDRESS(K37*2+2,3)))</f>
        <v>Шундрин А.</v>
      </c>
      <c r="I37" s="171"/>
      <c r="J37" s="171"/>
      <c r="K37" s="77">
        <v>5</v>
      </c>
      <c r="L37" s="80" t="s">
        <v>10</v>
      </c>
      <c r="M37" s="81">
        <v>7</v>
      </c>
    </row>
    <row r="38" spans="1:13" s="52" customFormat="1" ht="12.75" customHeight="1" x14ac:dyDescent="0.35">
      <c r="A38" s="51"/>
      <c r="L38" s="82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82"/>
      <c r="M39" s="57"/>
    </row>
    <row r="40" spans="1:13" s="52" customFormat="1" ht="30" customHeight="1" thickBot="1" x14ac:dyDescent="0.4">
      <c r="A40" s="51"/>
      <c r="B40" s="77">
        <v>6</v>
      </c>
      <c r="C40" s="174" t="str">
        <f ca="1">IF(ISBLANK(INDIRECT(ADDRESS(B40*2+2,3))),"",INDIRECT(ADDRESS(B40*2+2,3)))</f>
        <v>Федотовский О.</v>
      </c>
      <c r="D40" s="174"/>
      <c r="E40" s="175"/>
      <c r="F40" s="78">
        <v>8</v>
      </c>
      <c r="G40" s="79">
        <v>13</v>
      </c>
      <c r="H40" s="176" t="str">
        <f ca="1">IF(ISBLANK(INDIRECT(ADDRESS(K40*2+2,3))),"",INDIRECT(ADDRESS(K40*2+2,3)))</f>
        <v>Трутнев</v>
      </c>
      <c r="I40" s="174"/>
      <c r="J40" s="174"/>
      <c r="K40" s="77">
        <v>4</v>
      </c>
      <c r="L40" s="80" t="s">
        <v>10</v>
      </c>
      <c r="M40" s="81">
        <v>9</v>
      </c>
    </row>
    <row r="41" spans="1:13" s="52" customFormat="1" ht="30" customHeight="1" thickBot="1" x14ac:dyDescent="0.4">
      <c r="A41" s="51"/>
      <c r="B41" s="77">
        <v>5</v>
      </c>
      <c r="C41" s="171" t="str">
        <f ca="1">IF(ISBLANK(INDIRECT(ADDRESS(B41*2+2,3))),"",INDIRECT(ADDRESS(B41*2+2,3)))</f>
        <v>Шундрин А.</v>
      </c>
      <c r="D41" s="171"/>
      <c r="E41" s="172"/>
      <c r="F41" s="78">
        <v>13</v>
      </c>
      <c r="G41" s="79">
        <v>2</v>
      </c>
      <c r="H41" s="173" t="str">
        <f ca="1">IF(ISBLANK(INDIRECT(ADDRESS(K41*2+2,3))),"",INDIRECT(ADDRESS(K41*2+2,3)))</f>
        <v>Душечкин</v>
      </c>
      <c r="I41" s="171"/>
      <c r="J41" s="171"/>
      <c r="K41" s="77">
        <v>3</v>
      </c>
      <c r="L41" s="80" t="s">
        <v>10</v>
      </c>
      <c r="M41" s="81">
        <v>10</v>
      </c>
    </row>
    <row r="42" spans="1:13" s="52" customFormat="1" ht="30" customHeight="1" thickBot="1" x14ac:dyDescent="0.4">
      <c r="A42" s="51"/>
      <c r="B42" s="77">
        <v>1</v>
      </c>
      <c r="C42" s="171" t="str">
        <f ca="1">IF(ISBLANK(INDIRECT(ADDRESS(B42*2+2,3))),"",INDIRECT(ADDRESS(B42*2+2,3)))</f>
        <v>Банщиков</v>
      </c>
      <c r="D42" s="171"/>
      <c r="E42" s="172"/>
      <c r="F42" s="78">
        <v>13</v>
      </c>
      <c r="G42" s="79">
        <v>5</v>
      </c>
      <c r="H42" s="173" t="str">
        <f ca="1">IF(ISBLANK(INDIRECT(ADDRESS(K42*2+2,3))),"",INDIRECT(ADDRESS(K42*2+2,3)))</f>
        <v>Федотовский М.</v>
      </c>
      <c r="I42" s="171"/>
      <c r="J42" s="171"/>
      <c r="K42" s="77">
        <v>2</v>
      </c>
      <c r="L42" s="80" t="s">
        <v>10</v>
      </c>
      <c r="M42" s="81">
        <v>1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XFD1"/>
    </sheetView>
  </sheetViews>
  <sheetFormatPr defaultRowHeight="15" x14ac:dyDescent="0.25"/>
  <cols>
    <col min="1" max="1" width="4" style="42" customWidth="1"/>
    <col min="2" max="12" width="10.28515625" customWidth="1"/>
    <col min="13" max="13" width="10.28515625" style="28" customWidth="1"/>
    <col min="14" max="15" width="10.28515625" customWidth="1"/>
  </cols>
  <sheetData>
    <row r="1" spans="1:14" ht="38.25" customHeight="1" x14ac:dyDescent="0.25">
      <c r="B1" s="147" t="s">
        <v>130</v>
      </c>
      <c r="C1" s="147"/>
      <c r="D1" s="147"/>
      <c r="E1" s="147"/>
      <c r="F1" s="147"/>
      <c r="G1" s="147"/>
      <c r="H1" s="147"/>
      <c r="I1" s="147"/>
      <c r="J1" s="147"/>
      <c r="K1" s="147"/>
      <c r="L1" t="s">
        <v>21</v>
      </c>
      <c r="M1"/>
      <c r="N1" s="46">
        <v>45682</v>
      </c>
    </row>
    <row r="2" spans="1:14" ht="15.75" thickBot="1" x14ac:dyDescent="0.3">
      <c r="A2"/>
      <c r="M2"/>
    </row>
    <row r="3" spans="1:14" ht="30" customHeight="1" thickBot="1" x14ac:dyDescent="0.3">
      <c r="A3"/>
      <c r="B3" s="75"/>
      <c r="C3" s="91" t="s">
        <v>0</v>
      </c>
      <c r="D3" s="92"/>
      <c r="E3" s="93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1:14" ht="24" customHeight="1" x14ac:dyDescent="0.25">
      <c r="A4"/>
      <c r="B4" s="94">
        <v>1</v>
      </c>
      <c r="C4" s="194" t="s">
        <v>139</v>
      </c>
      <c r="D4" s="195"/>
      <c r="E4" s="196"/>
      <c r="F4" s="10" t="s">
        <v>30</v>
      </c>
      <c r="G4" s="6" t="str">
        <f ca="1">INDIRECT(ADDRESS(42,6))&amp;":"&amp;INDIRECT(ADDRESS(42,7))</f>
        <v>13:8</v>
      </c>
      <c r="H4" s="6" t="str">
        <f ca="1">INDIRECT(ADDRESS(36,7))&amp;":"&amp;INDIRECT(ADDRESS(36,6))</f>
        <v>7:13</v>
      </c>
      <c r="I4" s="6" t="str">
        <f ca="1">INDIRECT(ADDRESS(26,6))&amp;":"&amp;INDIRECT(ADDRESS(26,7))</f>
        <v>13:7</v>
      </c>
      <c r="J4" s="6" t="str">
        <f ca="1">INDIRECT(ADDRESS(32,7))&amp;":"&amp;INDIRECT(ADDRESS(32,6))</f>
        <v>8:13</v>
      </c>
      <c r="K4" s="20" t="str">
        <f ca="1">INDIRECT(ADDRESS(20,6))&amp;":"&amp;INDIRECT(ADDRESS(20,7))</f>
        <v>2:13</v>
      </c>
      <c r="L4" s="197">
        <f ca="1">IF(COUNT(F5:K5)=0,"",COUNTIF(F5:K5,"&gt;0")+0.5*COUNTIF(F5:K5,0))</f>
        <v>2</v>
      </c>
      <c r="M4" s="23"/>
      <c r="N4" s="88">
        <v>4</v>
      </c>
    </row>
    <row r="5" spans="1:14" ht="24" customHeight="1" x14ac:dyDescent="0.25">
      <c r="A5"/>
      <c r="B5" s="95"/>
      <c r="C5" s="133"/>
      <c r="D5" s="134"/>
      <c r="E5" s="135"/>
      <c r="F5" s="13" t="s">
        <v>30</v>
      </c>
      <c r="G5" s="16">
        <f ca="1">IF(LEN(INDIRECT(ADDRESS(ROW()-1, COLUMN())))=1,"",INDIRECT(ADDRESS(42,6))-INDIRECT(ADDRESS(42,7)))</f>
        <v>5</v>
      </c>
      <c r="H5" s="16">
        <f ca="1">IF(LEN(INDIRECT(ADDRESS(ROW()-1, COLUMN())))=1,"",INDIRECT(ADDRESS(36,7))-INDIRECT(ADDRESS(36,6)))</f>
        <v>-6</v>
      </c>
      <c r="I5" s="16">
        <f ca="1">IF(LEN(INDIRECT(ADDRESS(ROW()-1, COLUMN())))=1,"",INDIRECT(ADDRESS(26,6))-INDIRECT(ADDRESS(26,7)))</f>
        <v>6</v>
      </c>
      <c r="J5" s="16">
        <f ca="1">IF(LEN(INDIRECT(ADDRESS(ROW()-1, COLUMN())))=1,"",INDIRECT(ADDRESS(32,7))-INDIRECT(ADDRESS(32,6)))</f>
        <v>-5</v>
      </c>
      <c r="K5" s="17">
        <f ca="1">IF(LEN(INDIRECT(ADDRESS(ROW()-1, COLUMN())))=1,"",INDIRECT(ADDRESS(20,6))-INDIRECT(ADDRESS(20,7)))</f>
        <v>-11</v>
      </c>
      <c r="L5" s="102"/>
      <c r="M5" s="16">
        <f ca="1">IF(COUNT(F5:K5)=0,"",SUM(F5:K5))</f>
        <v>-11</v>
      </c>
      <c r="N5" s="89"/>
    </row>
    <row r="6" spans="1:14" ht="24" customHeight="1" x14ac:dyDescent="0.25">
      <c r="A6"/>
      <c r="B6" s="104">
        <v>2</v>
      </c>
      <c r="C6" s="191" t="s">
        <v>140</v>
      </c>
      <c r="D6" s="192"/>
      <c r="E6" s="193"/>
      <c r="F6" s="12" t="str">
        <f ca="1">INDIRECT(ADDRESS(42,7))&amp;":"&amp;INDIRECT(ADDRESS(42,6))</f>
        <v>8:13</v>
      </c>
      <c r="G6" s="8" t="s">
        <v>30</v>
      </c>
      <c r="H6" s="7" t="str">
        <f ca="1">INDIRECT(ADDRESS(27,6))&amp;":"&amp;INDIRECT(ADDRESS(27,7))</f>
        <v>6:13</v>
      </c>
      <c r="I6" s="7" t="str">
        <f ca="1">INDIRECT(ADDRESS(31,7))&amp;":"&amp;INDIRECT(ADDRESS(31,6))</f>
        <v>13:6</v>
      </c>
      <c r="J6" s="7" t="str">
        <f ca="1">INDIRECT(ADDRESS(21,6))&amp;":"&amp;INDIRECT(ADDRESS(21,7))</f>
        <v>12:13</v>
      </c>
      <c r="K6" s="11" t="str">
        <f ca="1">INDIRECT(ADDRESS(35,6))&amp;":"&amp;INDIRECT(ADDRESS(35,7))</f>
        <v>10:13</v>
      </c>
      <c r="L6" s="183">
        <f ca="1">IF(COUNT(F7:K7)=0,"",COUNTIF(F7:K7,"&gt;0")+0.5*COUNTIF(F7:K7,0))</f>
        <v>1</v>
      </c>
      <c r="M6" s="16"/>
      <c r="N6" s="110">
        <v>5</v>
      </c>
    </row>
    <row r="7" spans="1:14" ht="24" customHeight="1" x14ac:dyDescent="0.25">
      <c r="A7"/>
      <c r="B7" s="95"/>
      <c r="C7" s="133"/>
      <c r="D7" s="134"/>
      <c r="E7" s="135"/>
      <c r="F7" s="22">
        <f ca="1">IF(LEN(INDIRECT(ADDRESS(ROW()-1, COLUMN())))=1,"",INDIRECT(ADDRESS(42,7))-INDIRECT(ADDRESS(42,6)))</f>
        <v>-5</v>
      </c>
      <c r="G7" s="14" t="s">
        <v>30</v>
      </c>
      <c r="H7" s="16">
        <f ca="1">IF(LEN(INDIRECT(ADDRESS(ROW()-1, COLUMN())))=1,"",INDIRECT(ADDRESS(27,6))-INDIRECT(ADDRESS(27,7)))</f>
        <v>-7</v>
      </c>
      <c r="I7" s="16">
        <f ca="1">IF(LEN(INDIRECT(ADDRESS(ROW()-1, COLUMN())))=1,"",INDIRECT(ADDRESS(31,7))-INDIRECT(ADDRESS(31,6)))</f>
        <v>7</v>
      </c>
      <c r="J7" s="16">
        <f ca="1">IF(LEN(INDIRECT(ADDRESS(ROW()-1, COLUMN())))=1,"",INDIRECT(ADDRESS(21,6))-INDIRECT(ADDRESS(21,7)))</f>
        <v>-1</v>
      </c>
      <c r="K7" s="17">
        <f ca="1">IF(LEN(INDIRECT(ADDRESS(ROW()-1, COLUMN())))=1,"",INDIRECT(ADDRESS(35,6))-INDIRECT(ADDRESS(35,7)))</f>
        <v>-3</v>
      </c>
      <c r="L7" s="102"/>
      <c r="M7" s="16">
        <f ca="1">IF(COUNT(F7:K7)=0,"",SUM(F7:K7))</f>
        <v>-9</v>
      </c>
      <c r="N7" s="89"/>
    </row>
    <row r="8" spans="1:14" ht="24" customHeight="1" x14ac:dyDescent="0.25">
      <c r="A8"/>
      <c r="B8" s="104">
        <v>3</v>
      </c>
      <c r="C8" s="188" t="s">
        <v>141</v>
      </c>
      <c r="D8" s="189"/>
      <c r="E8" s="190"/>
      <c r="F8" s="12" t="str">
        <f ca="1">INDIRECT(ADDRESS(36,6))&amp;":"&amp;INDIRECT(ADDRESS(36,7))</f>
        <v>13:7</v>
      </c>
      <c r="G8" s="7" t="str">
        <f ca="1">INDIRECT(ADDRESS(27,7))&amp;":"&amp;INDIRECT(ADDRESS(27,6))</f>
        <v>13:6</v>
      </c>
      <c r="H8" s="8" t="s">
        <v>30</v>
      </c>
      <c r="I8" s="7" t="str">
        <f ca="1">INDIRECT(ADDRESS(22,6))&amp;":"&amp;INDIRECT(ADDRESS(22,7))</f>
        <v>13:8</v>
      </c>
      <c r="J8" s="7" t="str">
        <f ca="1">INDIRECT(ADDRESS(41,7))&amp;":"&amp;INDIRECT(ADDRESS(41,6))</f>
        <v>6:13</v>
      </c>
      <c r="K8" s="11" t="str">
        <f ca="1">INDIRECT(ADDRESS(30,6))&amp;":"&amp;INDIRECT(ADDRESS(30,7))</f>
        <v>13:11</v>
      </c>
      <c r="L8" s="183">
        <f ca="1">IF(COUNT(F9:K9)=0,"",COUNTIF(F9:K9,"&gt;0")+0.5*COUNTIF(F9:K9,0))</f>
        <v>4</v>
      </c>
      <c r="M8" s="16">
        <v>-5</v>
      </c>
      <c r="N8" s="110">
        <v>3</v>
      </c>
    </row>
    <row r="9" spans="1:14" ht="24" customHeight="1" x14ac:dyDescent="0.25">
      <c r="A9"/>
      <c r="B9" s="95"/>
      <c r="C9" s="120"/>
      <c r="D9" s="121"/>
      <c r="E9" s="122"/>
      <c r="F9" s="22">
        <f ca="1">IF(LEN(INDIRECT(ADDRESS(ROW()-1, COLUMN())))=1,"",INDIRECT(ADDRESS(36,6))-INDIRECT(ADDRESS(36,7)))</f>
        <v>6</v>
      </c>
      <c r="G9" s="16">
        <f ca="1">IF(LEN(INDIRECT(ADDRESS(ROW()-1, COLUMN())))=1,"",INDIRECT(ADDRESS(27,7))-INDIRECT(ADDRESS(27,6)))</f>
        <v>7</v>
      </c>
      <c r="H9" s="14" t="s">
        <v>30</v>
      </c>
      <c r="I9" s="16">
        <f ca="1">IF(LEN(INDIRECT(ADDRESS(ROW()-1, COLUMN())))=1,"",INDIRECT(ADDRESS(22,6))-INDIRECT(ADDRESS(22,7)))</f>
        <v>5</v>
      </c>
      <c r="J9" s="16">
        <f ca="1">IF(LEN(INDIRECT(ADDRESS(ROW()-1, COLUMN())))=1,"",INDIRECT(ADDRESS(41,7))-INDIRECT(ADDRESS(41,6)))</f>
        <v>-7</v>
      </c>
      <c r="K9" s="17">
        <f ca="1">IF(LEN(INDIRECT(ADDRESS(ROW()-1, COLUMN())))=1,"",INDIRECT(ADDRESS(30,6))-INDIRECT(ADDRESS(30,7)))</f>
        <v>2</v>
      </c>
      <c r="L9" s="102"/>
      <c r="M9" s="16">
        <f ca="1">IF(COUNT(F9:K9)=0,"",SUM(F9:K9))</f>
        <v>13</v>
      </c>
      <c r="N9" s="89"/>
    </row>
    <row r="10" spans="1:14" ht="24" customHeight="1" x14ac:dyDescent="0.25">
      <c r="A10"/>
      <c r="B10" s="104">
        <v>4</v>
      </c>
      <c r="C10" s="191" t="s">
        <v>142</v>
      </c>
      <c r="D10" s="192"/>
      <c r="E10" s="193"/>
      <c r="F10" s="12" t="str">
        <f ca="1">INDIRECT(ADDRESS(26,7))&amp;":"&amp;INDIRECT(ADDRESS(26,6))</f>
        <v>7:13</v>
      </c>
      <c r="G10" s="7" t="str">
        <f ca="1">INDIRECT(ADDRESS(31,6))&amp;":"&amp;INDIRECT(ADDRESS(31,7))</f>
        <v>6:13</v>
      </c>
      <c r="H10" s="7" t="str">
        <f ca="1">INDIRECT(ADDRESS(22,7))&amp;":"&amp;INDIRECT(ADDRESS(22,6))</f>
        <v>8:13</v>
      </c>
      <c r="I10" s="8" t="s">
        <v>30</v>
      </c>
      <c r="J10" s="7" t="str">
        <f ca="1">INDIRECT(ADDRESS(37,6))&amp;":"&amp;INDIRECT(ADDRESS(37,7))</f>
        <v>7:13</v>
      </c>
      <c r="K10" s="11" t="str">
        <f ca="1">INDIRECT(ADDRESS(40,7))&amp;":"&amp;INDIRECT(ADDRESS(40,6))</f>
        <v>12:13</v>
      </c>
      <c r="L10" s="183">
        <f ca="1">IF(COUNT(F11:K11)=0,"",COUNTIF(F11:K11,"&gt;0")+0.5*COUNTIF(F11:K11,0))</f>
        <v>0</v>
      </c>
      <c r="M10" s="16"/>
      <c r="N10" s="110">
        <v>6</v>
      </c>
    </row>
    <row r="11" spans="1:14" ht="24" customHeight="1" x14ac:dyDescent="0.25">
      <c r="A11"/>
      <c r="B11" s="95"/>
      <c r="C11" s="133"/>
      <c r="D11" s="134"/>
      <c r="E11" s="135"/>
      <c r="F11" s="22">
        <f ca="1">IF(LEN(INDIRECT(ADDRESS(ROW()-1, COLUMN())))=1,"",INDIRECT(ADDRESS(26,7))-INDIRECT(ADDRESS(26,6)))</f>
        <v>-6</v>
      </c>
      <c r="G11" s="16">
        <f ca="1">IF(LEN(INDIRECT(ADDRESS(ROW()-1, COLUMN())))=1,"",INDIRECT(ADDRESS(31,6))-INDIRECT(ADDRESS(31,7)))</f>
        <v>-7</v>
      </c>
      <c r="H11" s="16">
        <f ca="1">IF(LEN(INDIRECT(ADDRESS(ROW()-1, COLUMN())))=1,"",INDIRECT(ADDRESS(22,7))-INDIRECT(ADDRESS(22,6)))</f>
        <v>-5</v>
      </c>
      <c r="I11" s="14" t="s">
        <v>30</v>
      </c>
      <c r="J11" s="16">
        <f ca="1">IF(LEN(INDIRECT(ADDRESS(ROW()-1, COLUMN())))=1,"",INDIRECT(ADDRESS(37,6))-INDIRECT(ADDRESS(37,7)))</f>
        <v>-6</v>
      </c>
      <c r="K11" s="17">
        <f ca="1">IF(LEN(INDIRECT(ADDRESS(ROW()-1, COLUMN())))=1,"",INDIRECT(ADDRESS(40,7))-INDIRECT(ADDRESS(40,6)))</f>
        <v>-1</v>
      </c>
      <c r="L11" s="102"/>
      <c r="M11" s="16">
        <f ca="1">IF(COUNT(F11:K11)=0,"",SUM(F11:K11))</f>
        <v>-25</v>
      </c>
      <c r="N11" s="89"/>
    </row>
    <row r="12" spans="1:14" ht="24" customHeight="1" x14ac:dyDescent="0.25">
      <c r="A12"/>
      <c r="B12" s="104">
        <v>5</v>
      </c>
      <c r="C12" s="177" t="s">
        <v>143</v>
      </c>
      <c r="D12" s="178"/>
      <c r="E12" s="179"/>
      <c r="F12" s="12" t="str">
        <f ca="1">INDIRECT(ADDRESS(32,6))&amp;":"&amp;INDIRECT(ADDRESS(32,7))</f>
        <v>13:8</v>
      </c>
      <c r="G12" s="7" t="str">
        <f ca="1">INDIRECT(ADDRESS(21,7))&amp;":"&amp;INDIRECT(ADDRESS(21,6))</f>
        <v>13:12</v>
      </c>
      <c r="H12" s="7" t="str">
        <f ca="1">INDIRECT(ADDRESS(41,6))&amp;":"&amp;INDIRECT(ADDRESS(41,7))</f>
        <v>13:6</v>
      </c>
      <c r="I12" s="7" t="str">
        <f ca="1">INDIRECT(ADDRESS(37,7))&amp;":"&amp;INDIRECT(ADDRESS(37,6))</f>
        <v>13:7</v>
      </c>
      <c r="J12" s="8" t="s">
        <v>30</v>
      </c>
      <c r="K12" s="11" t="str">
        <f ca="1">INDIRECT(ADDRESS(25,7))&amp;":"&amp;INDIRECT(ADDRESS(25,6))</f>
        <v>9:11</v>
      </c>
      <c r="L12" s="183">
        <f ca="1">IF(COUNT(F13:K13)=0,"",COUNTIF(F13:K13,"&gt;0")+0.5*COUNTIF(F13:K13,0))</f>
        <v>4</v>
      </c>
      <c r="M12" s="16">
        <v>5</v>
      </c>
      <c r="N12" s="110">
        <v>1</v>
      </c>
    </row>
    <row r="13" spans="1:14" ht="24" customHeight="1" x14ac:dyDescent="0.25">
      <c r="A13"/>
      <c r="B13" s="95"/>
      <c r="C13" s="185"/>
      <c r="D13" s="186"/>
      <c r="E13" s="187"/>
      <c r="F13" s="22">
        <f ca="1">IF(LEN(INDIRECT(ADDRESS(ROW()-1, COLUMN())))=1,"",INDIRECT(ADDRESS(32,6))-INDIRECT(ADDRESS(32,7)))</f>
        <v>5</v>
      </c>
      <c r="G13" s="16">
        <f ca="1">IF(LEN(INDIRECT(ADDRESS(ROW()-1, COLUMN())))=1,"",INDIRECT(ADDRESS(21,7))-INDIRECT(ADDRESS(21,6)))</f>
        <v>1</v>
      </c>
      <c r="H13" s="16">
        <f ca="1">IF(LEN(INDIRECT(ADDRESS(ROW()-1, COLUMN())))=1,"",INDIRECT(ADDRESS(41,6))-INDIRECT(ADDRESS(41,7)))</f>
        <v>7</v>
      </c>
      <c r="I13" s="16">
        <f ca="1">IF(LEN(INDIRECT(ADDRESS(ROW()-1, COLUMN())))=1,"",INDIRECT(ADDRESS(37,7))-INDIRECT(ADDRESS(37,6)))</f>
        <v>6</v>
      </c>
      <c r="J13" s="14" t="s">
        <v>30</v>
      </c>
      <c r="K13" s="17">
        <f ca="1">IF(LEN(INDIRECT(ADDRESS(ROW()-1, COLUMN())))=1,"",INDIRECT(ADDRESS(25,7))-INDIRECT(ADDRESS(25,6)))</f>
        <v>-2</v>
      </c>
      <c r="L13" s="102"/>
      <c r="M13" s="16">
        <f ca="1">IF(COUNT(F13:K13)=0,"",SUM(F13:K13))</f>
        <v>17</v>
      </c>
      <c r="N13" s="89"/>
    </row>
    <row r="14" spans="1:14" ht="24" customHeight="1" x14ac:dyDescent="0.25">
      <c r="A14"/>
      <c r="B14" s="104">
        <v>6</v>
      </c>
      <c r="C14" s="177" t="s">
        <v>144</v>
      </c>
      <c r="D14" s="178"/>
      <c r="E14" s="179"/>
      <c r="F14" s="12" t="str">
        <f ca="1">INDIRECT(ADDRESS(20,7))&amp;":"&amp;INDIRECT(ADDRESS(20,6))</f>
        <v>13:2</v>
      </c>
      <c r="G14" s="7" t="str">
        <f ca="1">INDIRECT(ADDRESS(35,7))&amp;":"&amp;INDIRECT(ADDRESS(35,6))</f>
        <v>13:10</v>
      </c>
      <c r="H14" s="7" t="str">
        <f ca="1">INDIRECT(ADDRESS(30,7))&amp;":"&amp;INDIRECT(ADDRESS(30,6))</f>
        <v>11:13</v>
      </c>
      <c r="I14" s="7" t="str">
        <f ca="1">INDIRECT(ADDRESS(40,6))&amp;":"&amp;INDIRECT(ADDRESS(40,7))</f>
        <v>13:12</v>
      </c>
      <c r="J14" s="7" t="str">
        <f ca="1">INDIRECT(ADDRESS(25,6))&amp;":"&amp;INDIRECT(ADDRESS(25,7))</f>
        <v>11:9</v>
      </c>
      <c r="K14" s="50" t="s">
        <v>30</v>
      </c>
      <c r="L14" s="183">
        <f ca="1">IF(COUNT(F15:K15)=0,"",COUNTIF(F15:K15,"&gt;0")+0.5*COUNTIF(F15:K15,0))</f>
        <v>4</v>
      </c>
      <c r="M14" s="16">
        <v>0</v>
      </c>
      <c r="N14" s="110">
        <v>2</v>
      </c>
    </row>
    <row r="15" spans="1:14" ht="24" customHeight="1" thickBot="1" x14ac:dyDescent="0.3">
      <c r="A15"/>
      <c r="B15" s="119"/>
      <c r="C15" s="180"/>
      <c r="D15" s="181"/>
      <c r="E15" s="182"/>
      <c r="F15" s="19">
        <f ca="1">IF(LEN(INDIRECT(ADDRESS(ROW()-1, COLUMN())))=1,"",INDIRECT(ADDRESS(20,7))-INDIRECT(ADDRESS(20,6)))</f>
        <v>11</v>
      </c>
      <c r="G15" s="18">
        <f ca="1">IF(LEN(INDIRECT(ADDRESS(ROW()-1, COLUMN())))=1,"",INDIRECT(ADDRESS(35,7))-INDIRECT(ADDRESS(35,6)))</f>
        <v>3</v>
      </c>
      <c r="H15" s="18">
        <f ca="1">IF(LEN(INDIRECT(ADDRESS(ROW()-1, COLUMN())))=1,"",INDIRECT(ADDRESS(30,7))-INDIRECT(ADDRESS(30,6)))</f>
        <v>-2</v>
      </c>
      <c r="I15" s="18">
        <f ca="1">IF(LEN(INDIRECT(ADDRESS(ROW()-1, COLUMN())))=1,"",INDIRECT(ADDRESS(40,6))-INDIRECT(ADDRESS(40,7)))</f>
        <v>1</v>
      </c>
      <c r="J15" s="18">
        <f ca="1">IF(LEN(INDIRECT(ADDRESS(ROW()-1, COLUMN())))=1,"",INDIRECT(ADDRESS(25,6))-INDIRECT(ADDRESS(25,7)))</f>
        <v>2</v>
      </c>
      <c r="K15" s="15" t="s">
        <v>30</v>
      </c>
      <c r="L15" s="184"/>
      <c r="M15" s="18">
        <f ca="1">IF(COUNT(F15:K15)=0,"",SUM(F15:K15))</f>
        <v>15</v>
      </c>
      <c r="N15" s="146"/>
    </row>
    <row r="16" spans="1:14" ht="12" customHeight="1" x14ac:dyDescent="0.25">
      <c r="A16"/>
      <c r="M16"/>
    </row>
    <row r="17" spans="1:13" ht="11.25" customHeight="1" x14ac:dyDescent="0.25">
      <c r="M17"/>
    </row>
    <row r="18" spans="1:13" ht="10.5" customHeight="1" x14ac:dyDescent="0.25">
      <c r="M18"/>
    </row>
    <row r="19" spans="1:13" s="52" customFormat="1" ht="30" customHeight="1" thickBot="1" x14ac:dyDescent="0.4">
      <c r="A19" s="51"/>
      <c r="B19" s="114" t="s">
        <v>4</v>
      </c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3" s="52" customFormat="1" ht="30" customHeight="1" thickBot="1" x14ac:dyDescent="0.4">
      <c r="A20" s="51"/>
      <c r="B20" s="77">
        <v>1</v>
      </c>
      <c r="C20" s="174" t="str">
        <f ca="1">IF(ISBLANK(INDIRECT(ADDRESS(B20*2+2,3))),"",INDIRECT(ADDRESS(B20*2+2,3)))</f>
        <v>Шундрин Д.</v>
      </c>
      <c r="D20" s="174"/>
      <c r="E20" s="175"/>
      <c r="F20" s="78">
        <v>2</v>
      </c>
      <c r="G20" s="79">
        <v>13</v>
      </c>
      <c r="H20" s="176" t="str">
        <f ca="1">IF(ISBLANK(INDIRECT(ADDRESS(K20*2+2,3))),"",INDIRECT(ADDRESS(K20*2+2,3)))</f>
        <v>Царегородцев</v>
      </c>
      <c r="I20" s="174"/>
      <c r="J20" s="174"/>
      <c r="K20" s="77">
        <v>6</v>
      </c>
      <c r="L20" s="80" t="s">
        <v>10</v>
      </c>
      <c r="M20" s="81">
        <v>6</v>
      </c>
    </row>
    <row r="21" spans="1:13" s="52" customFormat="1" ht="30" customHeight="1" thickBot="1" x14ac:dyDescent="0.4">
      <c r="A21" s="51"/>
      <c r="B21" s="77">
        <v>2</v>
      </c>
      <c r="C21" s="171" t="str">
        <f ca="1">IF(ISBLANK(INDIRECT(ADDRESS(B21*2+2,3))),"",INDIRECT(ADDRESS(B21*2+2,3)))</f>
        <v>Михеенко</v>
      </c>
      <c r="D21" s="171"/>
      <c r="E21" s="172"/>
      <c r="F21" s="78">
        <v>12</v>
      </c>
      <c r="G21" s="79">
        <v>13</v>
      </c>
      <c r="H21" s="173" t="str">
        <f ca="1">IF(ISBLANK(INDIRECT(ADDRESS(K21*2+2,3))),"",INDIRECT(ADDRESS(K21*2+2,3)))</f>
        <v>Шундрин М.</v>
      </c>
      <c r="I21" s="171"/>
      <c r="J21" s="171"/>
      <c r="K21" s="77">
        <v>5</v>
      </c>
      <c r="L21" s="80" t="s">
        <v>10</v>
      </c>
      <c r="M21" s="81">
        <v>7</v>
      </c>
    </row>
    <row r="22" spans="1:13" s="52" customFormat="1" ht="30" customHeight="1" thickBot="1" x14ac:dyDescent="0.4">
      <c r="A22" s="51"/>
      <c r="B22" s="77">
        <v>3</v>
      </c>
      <c r="C22" s="171" t="str">
        <f ca="1">IF(ISBLANK(INDIRECT(ADDRESS(B22*2+2,3))),"",INDIRECT(ADDRESS(B22*2+2,3)))</f>
        <v>Гоцфрид</v>
      </c>
      <c r="D22" s="171"/>
      <c r="E22" s="172"/>
      <c r="F22" s="78">
        <v>13</v>
      </c>
      <c r="G22" s="79">
        <v>8</v>
      </c>
      <c r="H22" s="173" t="str">
        <f ca="1">IF(ISBLANK(INDIRECT(ADDRESS(K22*2+2,3))),"",INDIRECT(ADDRESS(K22*2+2,3)))</f>
        <v>Глеклер</v>
      </c>
      <c r="I22" s="171"/>
      <c r="J22" s="171"/>
      <c r="K22" s="77">
        <v>4</v>
      </c>
      <c r="L22" s="80" t="s">
        <v>10</v>
      </c>
      <c r="M22" s="81">
        <v>8</v>
      </c>
    </row>
    <row r="23" spans="1:13" s="52" customFormat="1" ht="14.25" customHeight="1" x14ac:dyDescent="0.35">
      <c r="A23" s="51"/>
      <c r="L23" s="82"/>
      <c r="M23" s="57"/>
    </row>
    <row r="24" spans="1:13" s="52" customFormat="1" ht="30" customHeight="1" thickBot="1" x14ac:dyDescent="0.4">
      <c r="A24" s="51"/>
      <c r="B24" s="114" t="s">
        <v>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82"/>
      <c r="M24" s="57"/>
    </row>
    <row r="25" spans="1:13" s="52" customFormat="1" ht="30" customHeight="1" thickBot="1" x14ac:dyDescent="0.4">
      <c r="A25" s="51"/>
      <c r="B25" s="77">
        <v>6</v>
      </c>
      <c r="C25" s="174" t="str">
        <f ca="1">IF(ISBLANK(INDIRECT(ADDRESS(B25*2+2,3))),"",INDIRECT(ADDRESS(B25*2+2,3)))</f>
        <v>Царегородцев</v>
      </c>
      <c r="D25" s="174"/>
      <c r="E25" s="175"/>
      <c r="F25" s="78">
        <v>11</v>
      </c>
      <c r="G25" s="79">
        <v>9</v>
      </c>
      <c r="H25" s="176" t="str">
        <f ca="1">IF(ISBLANK(INDIRECT(ADDRESS(K25*2+2,3))),"",INDIRECT(ADDRESS(K25*2+2,3)))</f>
        <v>Шундрин М.</v>
      </c>
      <c r="I25" s="174"/>
      <c r="J25" s="174"/>
      <c r="K25" s="77">
        <v>5</v>
      </c>
      <c r="L25" s="80" t="s">
        <v>10</v>
      </c>
      <c r="M25" s="81">
        <v>10</v>
      </c>
    </row>
    <row r="26" spans="1:13" s="52" customFormat="1" ht="30" customHeight="1" thickBot="1" x14ac:dyDescent="0.4">
      <c r="A26" s="51"/>
      <c r="B26" s="77">
        <v>1</v>
      </c>
      <c r="C26" s="171" t="str">
        <f ca="1">IF(ISBLANK(INDIRECT(ADDRESS(B26*2+2,3))),"",INDIRECT(ADDRESS(B26*2+2,3)))</f>
        <v>Шундрин Д.</v>
      </c>
      <c r="D26" s="171"/>
      <c r="E26" s="172"/>
      <c r="F26" s="78">
        <v>13</v>
      </c>
      <c r="G26" s="79">
        <v>7</v>
      </c>
      <c r="H26" s="173" t="str">
        <f ca="1">IF(ISBLANK(INDIRECT(ADDRESS(K26*2+2,3))),"",INDIRECT(ADDRESS(K26*2+2,3)))</f>
        <v>Глеклер</v>
      </c>
      <c r="I26" s="171"/>
      <c r="J26" s="171"/>
      <c r="K26" s="77">
        <v>4</v>
      </c>
      <c r="L26" s="80" t="s">
        <v>10</v>
      </c>
      <c r="M26" s="81">
        <v>1</v>
      </c>
    </row>
    <row r="27" spans="1:13" s="52" customFormat="1" ht="30" customHeight="1" thickBot="1" x14ac:dyDescent="0.4">
      <c r="A27" s="51"/>
      <c r="B27" s="77">
        <v>2</v>
      </c>
      <c r="C27" s="171" t="str">
        <f ca="1">IF(ISBLANK(INDIRECT(ADDRESS(B27*2+2,3))),"",INDIRECT(ADDRESS(B27*2+2,3)))</f>
        <v>Михеенко</v>
      </c>
      <c r="D27" s="171"/>
      <c r="E27" s="172"/>
      <c r="F27" s="78">
        <v>6</v>
      </c>
      <c r="G27" s="79">
        <v>13</v>
      </c>
      <c r="H27" s="173" t="str">
        <f ca="1">IF(ISBLANK(INDIRECT(ADDRESS(K27*2+2,3))),"",INDIRECT(ADDRESS(K27*2+2,3)))</f>
        <v>Гоцфрид</v>
      </c>
      <c r="I27" s="171"/>
      <c r="J27" s="171"/>
      <c r="K27" s="77">
        <v>3</v>
      </c>
      <c r="L27" s="80" t="s">
        <v>10</v>
      </c>
      <c r="M27" s="81">
        <v>2</v>
      </c>
    </row>
    <row r="28" spans="1:13" s="52" customFormat="1" ht="13.5" customHeight="1" x14ac:dyDescent="0.35">
      <c r="A28" s="51"/>
      <c r="L28" s="82"/>
      <c r="M28" s="57"/>
    </row>
    <row r="29" spans="1:13" s="52" customFormat="1" ht="30" customHeight="1" thickBot="1" x14ac:dyDescent="0.4">
      <c r="A29" s="51"/>
      <c r="B29" s="114" t="s">
        <v>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82"/>
      <c r="M29" s="57"/>
    </row>
    <row r="30" spans="1:13" s="52" customFormat="1" ht="30" customHeight="1" thickBot="1" x14ac:dyDescent="0.4">
      <c r="A30" s="51"/>
      <c r="B30" s="77">
        <v>3</v>
      </c>
      <c r="C30" s="174" t="str">
        <f ca="1">IF(ISBLANK(INDIRECT(ADDRESS(B30*2+2,3))),"",INDIRECT(ADDRESS(B30*2+2,3)))</f>
        <v>Гоцфрид</v>
      </c>
      <c r="D30" s="174"/>
      <c r="E30" s="175"/>
      <c r="F30" s="78">
        <v>13</v>
      </c>
      <c r="G30" s="79">
        <v>11</v>
      </c>
      <c r="H30" s="176" t="str">
        <f ca="1">IF(ISBLANK(INDIRECT(ADDRESS(K30*2+2,3))),"",INDIRECT(ADDRESS(K30*2+2,3)))</f>
        <v>Царегородцев</v>
      </c>
      <c r="I30" s="174"/>
      <c r="J30" s="174"/>
      <c r="K30" s="77">
        <v>6</v>
      </c>
      <c r="L30" s="80" t="s">
        <v>10</v>
      </c>
      <c r="M30" s="81">
        <v>4</v>
      </c>
    </row>
    <row r="31" spans="1:13" s="52" customFormat="1" ht="30" customHeight="1" thickBot="1" x14ac:dyDescent="0.4">
      <c r="A31" s="51"/>
      <c r="B31" s="77">
        <v>4</v>
      </c>
      <c r="C31" s="171" t="str">
        <f ca="1">IF(ISBLANK(INDIRECT(ADDRESS(B31*2+2,3))),"",INDIRECT(ADDRESS(B31*2+2,3)))</f>
        <v>Глеклер</v>
      </c>
      <c r="D31" s="171"/>
      <c r="E31" s="172"/>
      <c r="F31" s="78">
        <v>6</v>
      </c>
      <c r="G31" s="79">
        <v>13</v>
      </c>
      <c r="H31" s="173" t="str">
        <f ca="1">IF(ISBLANK(INDIRECT(ADDRESS(K31*2+2,3))),"",INDIRECT(ADDRESS(K31*2+2,3)))</f>
        <v>Михеенко</v>
      </c>
      <c r="I31" s="171"/>
      <c r="J31" s="171"/>
      <c r="K31" s="77">
        <v>2</v>
      </c>
      <c r="L31" s="80" t="s">
        <v>10</v>
      </c>
      <c r="M31" s="81">
        <v>5</v>
      </c>
    </row>
    <row r="32" spans="1:13" s="52" customFormat="1" ht="30" customHeight="1" thickBot="1" x14ac:dyDescent="0.4">
      <c r="A32" s="51"/>
      <c r="B32" s="77">
        <v>5</v>
      </c>
      <c r="C32" s="171" t="str">
        <f ca="1">IF(ISBLANK(INDIRECT(ADDRESS(B32*2+2,3))),"",INDIRECT(ADDRESS(B32*2+2,3)))</f>
        <v>Шундрин М.</v>
      </c>
      <c r="D32" s="171"/>
      <c r="E32" s="172"/>
      <c r="F32" s="78">
        <v>13</v>
      </c>
      <c r="G32" s="79">
        <v>8</v>
      </c>
      <c r="H32" s="173" t="str">
        <f ca="1">IF(ISBLANK(INDIRECT(ADDRESS(K32*2+2,3))),"",INDIRECT(ADDRESS(K32*2+2,3)))</f>
        <v>Шундрин Д.</v>
      </c>
      <c r="I32" s="171"/>
      <c r="J32" s="171"/>
      <c r="K32" s="77">
        <v>1</v>
      </c>
      <c r="L32" s="80" t="s">
        <v>10</v>
      </c>
      <c r="M32" s="81">
        <v>6</v>
      </c>
    </row>
    <row r="33" spans="1:13" s="52" customFormat="1" ht="12" customHeight="1" x14ac:dyDescent="0.35">
      <c r="A33" s="51"/>
      <c r="L33" s="82"/>
      <c r="M33" s="57"/>
    </row>
    <row r="34" spans="1:13" s="52" customFormat="1" ht="30" customHeight="1" thickBot="1" x14ac:dyDescent="0.4">
      <c r="A34" s="51"/>
      <c r="B34" s="114" t="s">
        <v>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82"/>
      <c r="M34" s="57"/>
    </row>
    <row r="35" spans="1:13" s="52" customFormat="1" ht="30" customHeight="1" thickBot="1" x14ac:dyDescent="0.4">
      <c r="A35" s="51"/>
      <c r="B35" s="77">
        <v>2</v>
      </c>
      <c r="C35" s="174" t="str">
        <f ca="1">IF(ISBLANK(INDIRECT(ADDRESS(B35*2+2,3))),"",INDIRECT(ADDRESS(B35*2+2,3)))</f>
        <v>Михеенко</v>
      </c>
      <c r="D35" s="174"/>
      <c r="E35" s="175"/>
      <c r="F35" s="78">
        <v>10</v>
      </c>
      <c r="G35" s="79">
        <v>13</v>
      </c>
      <c r="H35" s="176" t="str">
        <f ca="1">IF(ISBLANK(INDIRECT(ADDRESS(K35*2+2,3))),"",INDIRECT(ADDRESS(K35*2+2,3)))</f>
        <v>Царегородцев</v>
      </c>
      <c r="I35" s="174"/>
      <c r="J35" s="174"/>
      <c r="K35" s="77">
        <v>6</v>
      </c>
      <c r="L35" s="80" t="s">
        <v>10</v>
      </c>
      <c r="M35" s="81">
        <v>8</v>
      </c>
    </row>
    <row r="36" spans="1:13" s="52" customFormat="1" ht="30" customHeight="1" thickBot="1" x14ac:dyDescent="0.4">
      <c r="A36" s="51"/>
      <c r="B36" s="77">
        <v>3</v>
      </c>
      <c r="C36" s="171" t="str">
        <f ca="1">IF(ISBLANK(INDIRECT(ADDRESS(B36*2+2,3))),"",INDIRECT(ADDRESS(B36*2+2,3)))</f>
        <v>Гоцфрид</v>
      </c>
      <c r="D36" s="171"/>
      <c r="E36" s="172"/>
      <c r="F36" s="78">
        <v>13</v>
      </c>
      <c r="G36" s="79">
        <v>7</v>
      </c>
      <c r="H36" s="173" t="str">
        <f ca="1">IF(ISBLANK(INDIRECT(ADDRESS(K36*2+2,3))),"",INDIRECT(ADDRESS(K36*2+2,3)))</f>
        <v>Шундрин Д.</v>
      </c>
      <c r="I36" s="171"/>
      <c r="J36" s="171"/>
      <c r="K36" s="77">
        <v>1</v>
      </c>
      <c r="L36" s="80" t="s">
        <v>10</v>
      </c>
      <c r="M36" s="81">
        <v>9</v>
      </c>
    </row>
    <row r="37" spans="1:13" s="52" customFormat="1" ht="30" customHeight="1" thickBot="1" x14ac:dyDescent="0.4">
      <c r="A37" s="51"/>
      <c r="B37" s="77">
        <v>4</v>
      </c>
      <c r="C37" s="171" t="str">
        <f ca="1">IF(ISBLANK(INDIRECT(ADDRESS(B37*2+2,3))),"",INDIRECT(ADDRESS(B37*2+2,3)))</f>
        <v>Глеклер</v>
      </c>
      <c r="D37" s="171"/>
      <c r="E37" s="172"/>
      <c r="F37" s="78">
        <v>7</v>
      </c>
      <c r="G37" s="79">
        <v>13</v>
      </c>
      <c r="H37" s="173" t="str">
        <f ca="1">IF(ISBLANK(INDIRECT(ADDRESS(K37*2+2,3))),"",INDIRECT(ADDRESS(K37*2+2,3)))</f>
        <v>Шундрин М.</v>
      </c>
      <c r="I37" s="171"/>
      <c r="J37" s="171"/>
      <c r="K37" s="77">
        <v>5</v>
      </c>
      <c r="L37" s="80" t="s">
        <v>10</v>
      </c>
      <c r="M37" s="81">
        <v>10</v>
      </c>
    </row>
    <row r="38" spans="1:13" s="52" customFormat="1" ht="12.75" customHeight="1" x14ac:dyDescent="0.35">
      <c r="A38" s="51"/>
      <c r="L38" s="82"/>
      <c r="M38" s="57"/>
    </row>
    <row r="39" spans="1:13" s="52" customFormat="1" ht="30" customHeight="1" thickBot="1" x14ac:dyDescent="0.4">
      <c r="A39" s="51"/>
      <c r="B39" s="114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82"/>
      <c r="M39" s="57"/>
    </row>
    <row r="40" spans="1:13" s="52" customFormat="1" ht="30" customHeight="1" thickBot="1" x14ac:dyDescent="0.4">
      <c r="A40" s="51"/>
      <c r="B40" s="77">
        <v>6</v>
      </c>
      <c r="C40" s="174" t="str">
        <f ca="1">IF(ISBLANK(INDIRECT(ADDRESS(B40*2+2,3))),"",INDIRECT(ADDRESS(B40*2+2,3)))</f>
        <v>Царегородцев</v>
      </c>
      <c r="D40" s="174"/>
      <c r="E40" s="175"/>
      <c r="F40" s="78">
        <v>13</v>
      </c>
      <c r="G40" s="79">
        <v>12</v>
      </c>
      <c r="H40" s="176" t="str">
        <f ca="1">IF(ISBLANK(INDIRECT(ADDRESS(K40*2+2,3))),"",INDIRECT(ADDRESS(K40*2+2,3)))</f>
        <v>Глеклер</v>
      </c>
      <c r="I40" s="174"/>
      <c r="J40" s="174"/>
      <c r="K40" s="77">
        <v>4</v>
      </c>
      <c r="L40" s="80" t="s">
        <v>10</v>
      </c>
      <c r="M40" s="81">
        <v>2</v>
      </c>
    </row>
    <row r="41" spans="1:13" s="52" customFormat="1" ht="30" customHeight="1" thickBot="1" x14ac:dyDescent="0.4">
      <c r="A41" s="51"/>
      <c r="B41" s="77">
        <v>5</v>
      </c>
      <c r="C41" s="171" t="str">
        <f ca="1">IF(ISBLANK(INDIRECT(ADDRESS(B41*2+2,3))),"",INDIRECT(ADDRESS(B41*2+2,3)))</f>
        <v>Шундрин М.</v>
      </c>
      <c r="D41" s="171"/>
      <c r="E41" s="172"/>
      <c r="F41" s="78">
        <v>13</v>
      </c>
      <c r="G41" s="79">
        <v>6</v>
      </c>
      <c r="H41" s="173" t="str">
        <f ca="1">IF(ISBLANK(INDIRECT(ADDRESS(K41*2+2,3))),"",INDIRECT(ADDRESS(K41*2+2,3)))</f>
        <v>Гоцфрид</v>
      </c>
      <c r="I41" s="171"/>
      <c r="J41" s="171"/>
      <c r="K41" s="77">
        <v>3</v>
      </c>
      <c r="L41" s="80" t="s">
        <v>10</v>
      </c>
      <c r="M41" s="81">
        <v>3</v>
      </c>
    </row>
    <row r="42" spans="1:13" s="52" customFormat="1" ht="30" customHeight="1" thickBot="1" x14ac:dyDescent="0.4">
      <c r="A42" s="51"/>
      <c r="B42" s="77">
        <v>1</v>
      </c>
      <c r="C42" s="171" t="str">
        <f ca="1">IF(ISBLANK(INDIRECT(ADDRESS(B42*2+2,3))),"",INDIRECT(ADDRESS(B42*2+2,3)))</f>
        <v>Шундрин Д.</v>
      </c>
      <c r="D42" s="171"/>
      <c r="E42" s="172"/>
      <c r="F42" s="78">
        <v>13</v>
      </c>
      <c r="G42" s="79">
        <v>8</v>
      </c>
      <c r="H42" s="173" t="str">
        <f ca="1">IF(ISBLANK(INDIRECT(ADDRESS(K42*2+2,3))),"",INDIRECT(ADDRESS(K42*2+2,3)))</f>
        <v>Михеенко</v>
      </c>
      <c r="I42" s="171"/>
      <c r="J42" s="171"/>
      <c r="K42" s="77">
        <v>2</v>
      </c>
      <c r="L42" s="80" t="s">
        <v>10</v>
      </c>
      <c r="M42" s="81">
        <v>4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XFD7"/>
    </sheetView>
  </sheetViews>
  <sheetFormatPr defaultRowHeight="15" x14ac:dyDescent="0.25"/>
  <cols>
    <col min="1" max="1" width="9.140625" style="5"/>
    <col min="2" max="2" width="18.85546875" customWidth="1"/>
    <col min="3" max="3" width="15.28515625" customWidth="1"/>
    <col min="4" max="4" width="14.28515625" customWidth="1"/>
    <col min="5" max="6" width="9.140625" style="74"/>
  </cols>
  <sheetData>
    <row r="1" spans="1:7" x14ac:dyDescent="0.25">
      <c r="B1" s="86" t="s">
        <v>82</v>
      </c>
    </row>
    <row r="2" spans="1:7" s="86" customFormat="1" x14ac:dyDescent="0.25">
      <c r="A2" s="76" t="s">
        <v>83</v>
      </c>
      <c r="B2" s="86" t="s">
        <v>84</v>
      </c>
      <c r="C2" s="86" t="s">
        <v>85</v>
      </c>
      <c r="D2" s="86" t="s">
        <v>86</v>
      </c>
      <c r="E2" s="87" t="s">
        <v>87</v>
      </c>
      <c r="F2" s="87" t="s">
        <v>88</v>
      </c>
      <c r="G2" s="86" t="s">
        <v>89</v>
      </c>
    </row>
    <row r="3" spans="1:7" x14ac:dyDescent="0.25">
      <c r="A3" s="5">
        <v>1</v>
      </c>
      <c r="B3" t="s">
        <v>104</v>
      </c>
      <c r="C3">
        <f>4/5*100</f>
        <v>80</v>
      </c>
      <c r="D3">
        <v>1</v>
      </c>
      <c r="E3" s="74">
        <f>23/5</f>
        <v>4.5999999999999996</v>
      </c>
      <c r="F3" s="74">
        <f>60/5</f>
        <v>12</v>
      </c>
      <c r="G3" t="s">
        <v>128</v>
      </c>
    </row>
    <row r="4" spans="1:7" x14ac:dyDescent="0.25">
      <c r="A4" s="5">
        <v>5</v>
      </c>
      <c r="B4" t="s">
        <v>125</v>
      </c>
      <c r="C4">
        <f>3/5*100</f>
        <v>60</v>
      </c>
      <c r="D4">
        <v>0</v>
      </c>
      <c r="E4" s="74">
        <f>6/5</f>
        <v>1.2</v>
      </c>
      <c r="F4" s="74">
        <f>54/5</f>
        <v>10.8</v>
      </c>
      <c r="G4" t="s">
        <v>180</v>
      </c>
    </row>
    <row r="5" spans="1:7" x14ac:dyDescent="0.25">
      <c r="A5" s="5">
        <v>2</v>
      </c>
      <c r="B5" t="s">
        <v>79</v>
      </c>
      <c r="C5">
        <f>3/6*100</f>
        <v>50</v>
      </c>
      <c r="D5">
        <v>0</v>
      </c>
      <c r="E5" s="74">
        <f>-2/6</f>
        <v>-0.33333333333333331</v>
      </c>
      <c r="F5" s="74">
        <f>54/6</f>
        <v>9</v>
      </c>
      <c r="G5" t="s">
        <v>91</v>
      </c>
    </row>
    <row r="6" spans="1:7" x14ac:dyDescent="0.25">
      <c r="A6" s="5">
        <v>4</v>
      </c>
      <c r="B6" t="s">
        <v>117</v>
      </c>
      <c r="C6">
        <f>2/5*100</f>
        <v>40</v>
      </c>
      <c r="D6">
        <v>0</v>
      </c>
      <c r="E6" s="74">
        <f>-1/5</f>
        <v>-0.2</v>
      </c>
      <c r="F6" s="74">
        <f>47/5</f>
        <v>9.4</v>
      </c>
      <c r="G6" t="s">
        <v>145</v>
      </c>
    </row>
    <row r="7" spans="1:7" x14ac:dyDescent="0.25">
      <c r="A7" s="5">
        <v>3</v>
      </c>
      <c r="B7" t="s">
        <v>112</v>
      </c>
      <c r="C7">
        <f>2/5*100</f>
        <v>40</v>
      </c>
      <c r="D7">
        <v>0</v>
      </c>
      <c r="E7" s="74">
        <v>-1</v>
      </c>
      <c r="F7" s="74">
        <f>46/5</f>
        <v>9.1999999999999993</v>
      </c>
      <c r="G7" t="s">
        <v>129</v>
      </c>
    </row>
  </sheetData>
  <sortState ref="A3:H7">
    <sortCondition descending="1" ref="C3:C7"/>
    <sortCondition descending="1" ref="D3:D7"/>
    <sortCondition descending="1" ref="E3:E7"/>
    <sortCondition descending="1" ref="F3:F7"/>
  </sortState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H28" sqref="H28"/>
    </sheetView>
  </sheetViews>
  <sheetFormatPr defaultRowHeight="15" x14ac:dyDescent="0.25"/>
  <cols>
    <col min="1" max="1" width="5.140625" style="5" customWidth="1"/>
    <col min="2" max="2" width="30.28515625" customWidth="1"/>
    <col min="3" max="3" width="9.5703125" style="5" customWidth="1"/>
    <col min="4" max="4" width="15.7109375" customWidth="1"/>
  </cols>
  <sheetData>
    <row r="1" spans="1:7" s="76" customFormat="1" x14ac:dyDescent="0.25">
      <c r="A1" s="76" t="s">
        <v>146</v>
      </c>
      <c r="B1" s="76" t="s">
        <v>84</v>
      </c>
      <c r="C1" s="76" t="s">
        <v>90</v>
      </c>
      <c r="D1" s="76" t="s">
        <v>147</v>
      </c>
      <c r="E1" s="76" t="s">
        <v>148</v>
      </c>
      <c r="F1" s="76" t="s">
        <v>181</v>
      </c>
      <c r="G1" s="76" t="s">
        <v>182</v>
      </c>
    </row>
    <row r="2" spans="1:7" x14ac:dyDescent="0.25">
      <c r="A2" s="5">
        <v>1</v>
      </c>
      <c r="B2" t="s">
        <v>161</v>
      </c>
      <c r="C2" s="5">
        <v>133</v>
      </c>
      <c r="D2" t="s">
        <v>150</v>
      </c>
      <c r="E2" t="s">
        <v>163</v>
      </c>
    </row>
    <row r="3" spans="1:7" x14ac:dyDescent="0.25">
      <c r="A3" s="5">
        <v>2</v>
      </c>
      <c r="B3" t="s">
        <v>77</v>
      </c>
      <c r="C3" s="5">
        <v>132</v>
      </c>
      <c r="D3" t="s">
        <v>153</v>
      </c>
      <c r="E3" t="s">
        <v>91</v>
      </c>
    </row>
    <row r="4" spans="1:7" x14ac:dyDescent="0.25">
      <c r="A4" s="5">
        <v>3</v>
      </c>
      <c r="B4" t="s">
        <v>157</v>
      </c>
      <c r="C4" s="5">
        <v>122</v>
      </c>
      <c r="D4" t="s">
        <v>150</v>
      </c>
      <c r="E4" t="s">
        <v>160</v>
      </c>
    </row>
    <row r="5" spans="1:7" x14ac:dyDescent="0.25">
      <c r="A5" s="5">
        <v>4</v>
      </c>
      <c r="B5" t="s">
        <v>158</v>
      </c>
      <c r="C5" s="5">
        <v>110</v>
      </c>
      <c r="D5" t="s">
        <v>150</v>
      </c>
      <c r="E5" t="s">
        <v>160</v>
      </c>
      <c r="G5" t="s">
        <v>159</v>
      </c>
    </row>
    <row r="6" spans="1:7" x14ac:dyDescent="0.25">
      <c r="A6" s="5">
        <v>5</v>
      </c>
      <c r="B6" t="s">
        <v>103</v>
      </c>
      <c r="C6" s="5">
        <v>102</v>
      </c>
      <c r="D6" t="s">
        <v>153</v>
      </c>
      <c r="E6" t="s">
        <v>128</v>
      </c>
    </row>
    <row r="7" spans="1:7" x14ac:dyDescent="0.25">
      <c r="A7" s="5">
        <v>6</v>
      </c>
      <c r="B7" t="s">
        <v>19</v>
      </c>
      <c r="C7" s="5">
        <v>97</v>
      </c>
      <c r="D7" t="s">
        <v>149</v>
      </c>
      <c r="E7" t="s">
        <v>155</v>
      </c>
      <c r="G7" t="s">
        <v>179</v>
      </c>
    </row>
    <row r="8" spans="1:7" x14ac:dyDescent="0.25">
      <c r="A8" s="5">
        <v>7</v>
      </c>
      <c r="B8" t="s">
        <v>164</v>
      </c>
      <c r="C8" s="5">
        <v>96</v>
      </c>
      <c r="D8" t="s">
        <v>150</v>
      </c>
      <c r="E8" t="s">
        <v>166</v>
      </c>
    </row>
    <row r="9" spans="1:7" x14ac:dyDescent="0.25">
      <c r="A9" s="5">
        <v>8</v>
      </c>
      <c r="B9" t="s">
        <v>95</v>
      </c>
      <c r="C9" s="5">
        <v>96</v>
      </c>
      <c r="D9" t="s">
        <v>152</v>
      </c>
      <c r="E9" t="s">
        <v>168</v>
      </c>
    </row>
    <row r="10" spans="1:7" x14ac:dyDescent="0.25">
      <c r="A10" s="5">
        <v>9</v>
      </c>
      <c r="B10" t="s">
        <v>165</v>
      </c>
      <c r="C10" s="5">
        <v>93</v>
      </c>
      <c r="D10" t="s">
        <v>150</v>
      </c>
      <c r="E10" t="s">
        <v>166</v>
      </c>
    </row>
    <row r="11" spans="1:7" x14ac:dyDescent="0.25">
      <c r="A11" s="5">
        <v>10</v>
      </c>
      <c r="B11" t="s">
        <v>176</v>
      </c>
      <c r="C11" s="5">
        <v>85</v>
      </c>
      <c r="D11" t="s">
        <v>154</v>
      </c>
      <c r="E11" t="s">
        <v>177</v>
      </c>
    </row>
    <row r="12" spans="1:7" x14ac:dyDescent="0.25">
      <c r="A12" s="5">
        <v>11</v>
      </c>
      <c r="B12" t="s">
        <v>14</v>
      </c>
      <c r="C12" s="5">
        <v>69</v>
      </c>
      <c r="D12" t="s">
        <v>149</v>
      </c>
      <c r="E12" t="s">
        <v>155</v>
      </c>
    </row>
    <row r="13" spans="1:7" x14ac:dyDescent="0.25">
      <c r="A13" s="5">
        <v>12</v>
      </c>
      <c r="B13" t="s">
        <v>23</v>
      </c>
      <c r="C13" s="5">
        <v>68</v>
      </c>
      <c r="D13" t="s">
        <v>149</v>
      </c>
      <c r="E13" t="s">
        <v>156</v>
      </c>
    </row>
    <row r="14" spans="1:7" x14ac:dyDescent="0.25">
      <c r="A14" s="5">
        <v>13</v>
      </c>
      <c r="B14" t="s">
        <v>138</v>
      </c>
      <c r="C14" s="5">
        <v>67</v>
      </c>
      <c r="D14" t="s">
        <v>153</v>
      </c>
      <c r="E14" t="s">
        <v>145</v>
      </c>
    </row>
    <row r="15" spans="1:7" x14ac:dyDescent="0.25">
      <c r="A15" s="5">
        <v>14</v>
      </c>
      <c r="B15" t="s">
        <v>162</v>
      </c>
      <c r="C15" s="5">
        <v>66</v>
      </c>
      <c r="D15" t="s">
        <v>150</v>
      </c>
      <c r="E15" t="s">
        <v>163</v>
      </c>
    </row>
    <row r="16" spans="1:7" x14ac:dyDescent="0.25">
      <c r="A16" s="5">
        <v>15</v>
      </c>
      <c r="B16" t="s">
        <v>111</v>
      </c>
      <c r="C16" s="5">
        <v>64</v>
      </c>
      <c r="D16" t="s">
        <v>153</v>
      </c>
      <c r="E16" t="s">
        <v>129</v>
      </c>
    </row>
    <row r="17" spans="1:7" ht="15.75" thickBot="1" x14ac:dyDescent="0.3">
      <c r="A17" s="83">
        <v>16</v>
      </c>
      <c r="B17" s="84" t="s">
        <v>113</v>
      </c>
      <c r="C17" s="83">
        <v>62</v>
      </c>
      <c r="D17" s="84" t="s">
        <v>153</v>
      </c>
      <c r="E17" s="84" t="s">
        <v>129</v>
      </c>
      <c r="F17" s="84"/>
      <c r="G17" s="85" t="s">
        <v>183</v>
      </c>
    </row>
    <row r="18" spans="1:7" x14ac:dyDescent="0.25">
      <c r="A18" s="5">
        <v>17</v>
      </c>
      <c r="B18" t="s">
        <v>75</v>
      </c>
      <c r="C18" s="5">
        <v>62</v>
      </c>
      <c r="D18" t="s">
        <v>153</v>
      </c>
      <c r="E18" t="s">
        <v>91</v>
      </c>
      <c r="G18" t="s">
        <v>184</v>
      </c>
    </row>
    <row r="19" spans="1:7" x14ac:dyDescent="0.25">
      <c r="A19" s="5">
        <v>18</v>
      </c>
      <c r="B19" t="s">
        <v>124</v>
      </c>
      <c r="C19" s="5">
        <v>56</v>
      </c>
      <c r="D19" t="s">
        <v>153</v>
      </c>
      <c r="E19" t="s">
        <v>180</v>
      </c>
    </row>
    <row r="20" spans="1:7" x14ac:dyDescent="0.25">
      <c r="A20" s="5">
        <v>19</v>
      </c>
      <c r="B20" t="s">
        <v>15</v>
      </c>
      <c r="C20" s="5">
        <v>54</v>
      </c>
      <c r="D20" t="s">
        <v>149</v>
      </c>
      <c r="E20" t="s">
        <v>155</v>
      </c>
    </row>
    <row r="21" spans="1:7" x14ac:dyDescent="0.25">
      <c r="A21" s="5">
        <v>20</v>
      </c>
      <c r="B21" t="s">
        <v>173</v>
      </c>
      <c r="C21" s="5">
        <v>51</v>
      </c>
      <c r="D21" t="s">
        <v>154</v>
      </c>
      <c r="E21" t="s">
        <v>174</v>
      </c>
    </row>
    <row r="22" spans="1:7" x14ac:dyDescent="0.25">
      <c r="A22" s="5">
        <v>21</v>
      </c>
      <c r="B22" t="s">
        <v>93</v>
      </c>
      <c r="C22" s="5">
        <v>50</v>
      </c>
      <c r="D22" t="s">
        <v>152</v>
      </c>
      <c r="E22" t="s">
        <v>168</v>
      </c>
    </row>
    <row r="23" spans="1:7" x14ac:dyDescent="0.25">
      <c r="A23" s="5">
        <v>22</v>
      </c>
      <c r="B23" t="s">
        <v>175</v>
      </c>
      <c r="C23" s="5">
        <v>49</v>
      </c>
      <c r="D23" t="s">
        <v>154</v>
      </c>
      <c r="E23" t="s">
        <v>174</v>
      </c>
    </row>
    <row r="24" spans="1:7" x14ac:dyDescent="0.25">
      <c r="A24" s="5">
        <v>23</v>
      </c>
      <c r="B24" t="s">
        <v>118</v>
      </c>
      <c r="C24" s="5">
        <v>38</v>
      </c>
      <c r="D24" t="s">
        <v>153</v>
      </c>
      <c r="E24" t="s">
        <v>145</v>
      </c>
    </row>
    <row r="25" spans="1:7" x14ac:dyDescent="0.25">
      <c r="A25" s="5">
        <v>24</v>
      </c>
      <c r="B25" t="s">
        <v>59</v>
      </c>
      <c r="C25" s="5">
        <v>12</v>
      </c>
      <c r="D25" t="s">
        <v>169</v>
      </c>
      <c r="E25" t="s">
        <v>171</v>
      </c>
    </row>
    <row r="26" spans="1:7" x14ac:dyDescent="0.25">
      <c r="A26" s="5">
        <v>25</v>
      </c>
      <c r="B26" t="s">
        <v>178</v>
      </c>
      <c r="C26" s="5">
        <v>11</v>
      </c>
      <c r="D26" t="s">
        <v>154</v>
      </c>
      <c r="E26" t="s">
        <v>177</v>
      </c>
    </row>
    <row r="27" spans="1:7" x14ac:dyDescent="0.25">
      <c r="A27" s="5">
        <v>26</v>
      </c>
      <c r="B27" t="s">
        <v>27</v>
      </c>
      <c r="C27" s="5">
        <v>0</v>
      </c>
      <c r="D27" t="s">
        <v>149</v>
      </c>
      <c r="E27" t="s">
        <v>156</v>
      </c>
    </row>
    <row r="28" spans="1:7" x14ac:dyDescent="0.25">
      <c r="A28" s="5">
        <v>27</v>
      </c>
      <c r="B28" t="s">
        <v>71</v>
      </c>
      <c r="C28" s="5">
        <v>0</v>
      </c>
      <c r="D28" t="s">
        <v>151</v>
      </c>
      <c r="E28" t="s">
        <v>167</v>
      </c>
    </row>
    <row r="29" spans="1:7" x14ac:dyDescent="0.25">
      <c r="A29" s="5">
        <v>28</v>
      </c>
      <c r="B29" t="s">
        <v>107</v>
      </c>
      <c r="C29" s="5">
        <v>0</v>
      </c>
      <c r="D29" t="s">
        <v>153</v>
      </c>
      <c r="E29" t="s">
        <v>128</v>
      </c>
    </row>
    <row r="30" spans="1:7" x14ac:dyDescent="0.25">
      <c r="A30" s="5">
        <v>29</v>
      </c>
      <c r="B30" t="s">
        <v>127</v>
      </c>
      <c r="C30" s="5">
        <v>0</v>
      </c>
      <c r="D30" t="s">
        <v>153</v>
      </c>
      <c r="E30" t="s">
        <v>180</v>
      </c>
    </row>
    <row r="31" spans="1:7" x14ac:dyDescent="0.25">
      <c r="A31" s="5">
        <v>30</v>
      </c>
      <c r="B31" t="s">
        <v>34</v>
      </c>
      <c r="C31" s="5">
        <v>0</v>
      </c>
      <c r="D31" t="s">
        <v>169</v>
      </c>
      <c r="E31" t="s">
        <v>170</v>
      </c>
    </row>
    <row r="32" spans="1:7" x14ac:dyDescent="0.25">
      <c r="A32" s="5">
        <v>31</v>
      </c>
      <c r="B32" t="s">
        <v>36</v>
      </c>
      <c r="C32" s="5">
        <v>0</v>
      </c>
      <c r="D32" t="s">
        <v>169</v>
      </c>
      <c r="E32" t="s">
        <v>170</v>
      </c>
    </row>
    <row r="33" spans="1:7" x14ac:dyDescent="0.25">
      <c r="A33" s="5">
        <v>32</v>
      </c>
      <c r="B33" t="s">
        <v>58</v>
      </c>
      <c r="C33" s="5">
        <v>0</v>
      </c>
      <c r="D33" t="s">
        <v>169</v>
      </c>
      <c r="E33" t="s">
        <v>171</v>
      </c>
      <c r="G33" t="s">
        <v>172</v>
      </c>
    </row>
    <row r="36" spans="1:7" x14ac:dyDescent="0.25">
      <c r="B36" s="86" t="s">
        <v>82</v>
      </c>
      <c r="C36"/>
      <c r="E36" s="74"/>
      <c r="F36" s="74"/>
    </row>
    <row r="37" spans="1:7" s="86" customFormat="1" x14ac:dyDescent="0.25">
      <c r="A37" s="76" t="s">
        <v>83</v>
      </c>
      <c r="B37" s="86" t="s">
        <v>84</v>
      </c>
      <c r="C37" s="86" t="s">
        <v>85</v>
      </c>
      <c r="D37" s="86" t="s">
        <v>86</v>
      </c>
      <c r="E37" s="87" t="s">
        <v>87</v>
      </c>
      <c r="F37" s="87" t="s">
        <v>88</v>
      </c>
      <c r="G37" s="86" t="s">
        <v>89</v>
      </c>
    </row>
    <row r="38" spans="1:7" x14ac:dyDescent="0.25">
      <c r="A38" s="5">
        <v>1</v>
      </c>
      <c r="B38" t="s">
        <v>104</v>
      </c>
      <c r="C38">
        <f>4/5*100</f>
        <v>80</v>
      </c>
      <c r="D38">
        <v>1</v>
      </c>
      <c r="E38" s="74">
        <f>23/5</f>
        <v>4.5999999999999996</v>
      </c>
      <c r="F38" s="74">
        <f>60/5</f>
        <v>12</v>
      </c>
      <c r="G38" t="s">
        <v>128</v>
      </c>
    </row>
    <row r="39" spans="1:7" x14ac:dyDescent="0.25">
      <c r="A39" s="5">
        <v>5</v>
      </c>
      <c r="B39" t="s">
        <v>125</v>
      </c>
      <c r="C39">
        <f>3/5*100</f>
        <v>60</v>
      </c>
      <c r="D39">
        <v>0</v>
      </c>
      <c r="E39" s="74">
        <f>6/5</f>
        <v>1.2</v>
      </c>
      <c r="F39" s="74">
        <f>54/5</f>
        <v>10.8</v>
      </c>
      <c r="G39" t="s">
        <v>180</v>
      </c>
    </row>
    <row r="40" spans="1:7" x14ac:dyDescent="0.25">
      <c r="A40" s="5">
        <v>2</v>
      </c>
      <c r="B40" t="s">
        <v>79</v>
      </c>
      <c r="C40">
        <f>3/6*100</f>
        <v>50</v>
      </c>
      <c r="D40">
        <v>0</v>
      </c>
      <c r="E40" s="74">
        <f>-2/6</f>
        <v>-0.33333333333333331</v>
      </c>
      <c r="F40" s="74">
        <f>54/6</f>
        <v>9</v>
      </c>
      <c r="G40" t="s">
        <v>91</v>
      </c>
    </row>
    <row r="41" spans="1:7" x14ac:dyDescent="0.25">
      <c r="A41" s="5">
        <v>4</v>
      </c>
      <c r="B41" t="s">
        <v>117</v>
      </c>
      <c r="C41">
        <f>2/5*100</f>
        <v>40</v>
      </c>
      <c r="D41">
        <v>0</v>
      </c>
      <c r="E41" s="74">
        <f>-1/5</f>
        <v>-0.2</v>
      </c>
      <c r="F41" s="74">
        <f>47/5</f>
        <v>9.4</v>
      </c>
      <c r="G41" t="s">
        <v>145</v>
      </c>
    </row>
    <row r="42" spans="1:7" x14ac:dyDescent="0.25">
      <c r="A42" s="5">
        <v>3</v>
      </c>
      <c r="B42" t="s">
        <v>112</v>
      </c>
      <c r="C42">
        <f>2/5*100</f>
        <v>40</v>
      </c>
      <c r="D42">
        <v>0</v>
      </c>
      <c r="E42" s="74">
        <v>-1</v>
      </c>
      <c r="F42" s="74">
        <f>46/5</f>
        <v>9.1999999999999993</v>
      </c>
      <c r="G42" t="s">
        <v>129</v>
      </c>
    </row>
  </sheetData>
  <sortState ref="A2:G33">
    <sortCondition descending="1" ref="C2:C3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9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9" t="e">
        <f>#REF!&amp;#REF!</f>
        <v>#REF!</v>
      </c>
      <c r="J27" s="9" t="e">
        <f>#REF!&amp;#REF!</f>
        <v>#REF!</v>
      </c>
    </row>
    <row r="28" spans="9:28" x14ac:dyDescent="0.25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9" t="e">
        <f>#REF!&amp;#REF!</f>
        <v>#REF!</v>
      </c>
      <c r="J44" s="9" t="e">
        <f>#REF!&amp;#REF!</f>
        <v>#REF!</v>
      </c>
    </row>
    <row r="45" spans="9:19" x14ac:dyDescent="0.25">
      <c r="I45" s="9" t="e">
        <f>#REF!&amp;#REF!</f>
        <v>#REF!</v>
      </c>
      <c r="J45" s="9" t="e">
        <f>#REF!&amp;#REF!</f>
        <v>#REF!</v>
      </c>
    </row>
    <row r="46" spans="9:19" x14ac:dyDescent="0.25">
      <c r="I46" s="9" t="e">
        <f>#REF!&amp;#REF!</f>
        <v>#REF!</v>
      </c>
      <c r="J46" s="9" t="e">
        <f>#REF!&amp;#REF!</f>
        <v>#REF!</v>
      </c>
    </row>
    <row r="48" spans="9:19" x14ac:dyDescent="0.25">
      <c r="I48" s="9" t="e">
        <f>#REF!&amp;#REF!</f>
        <v>#REF!</v>
      </c>
      <c r="J48" s="9" t="e">
        <f>#REF!&amp;#REF!</f>
        <v>#REF!</v>
      </c>
    </row>
    <row r="49" spans="9:10" x14ac:dyDescent="0.25">
      <c r="I49" s="9" t="e">
        <f>#REF!&amp;#REF!</f>
        <v>#REF!</v>
      </c>
      <c r="J49" s="9" t="e">
        <f>#REF!&amp;#REF!</f>
        <v>#REF!</v>
      </c>
    </row>
    <row r="50" spans="9:10" x14ac:dyDescent="0.25">
      <c r="I50" s="9" t="e">
        <f>#REF!&amp;#REF!</f>
        <v>#REF!</v>
      </c>
      <c r="J50" s="9" t="e">
        <f>#REF!&amp;#REF!</f>
        <v>#REF!</v>
      </c>
    </row>
    <row r="51" spans="9:10" x14ac:dyDescent="0.25">
      <c r="I51" s="9" t="e">
        <f>#REF!&amp;#REF!</f>
        <v>#REF!</v>
      </c>
      <c r="J51" s="9" t="e">
        <f>#REF!&amp;#REF!</f>
        <v>#REF!</v>
      </c>
    </row>
    <row r="52" spans="9:10" x14ac:dyDescent="0.25">
      <c r="I52" s="9" t="e">
        <f>#REF!&amp;#REF!</f>
        <v>#REF!</v>
      </c>
      <c r="J52" s="9" t="e">
        <f>#REF!&amp;#REF!</f>
        <v>#REF!</v>
      </c>
    </row>
    <row r="54" spans="9:10" x14ac:dyDescent="0.25">
      <c r="I54" s="9" t="e">
        <f>#REF!&amp;#REF!</f>
        <v>#REF!</v>
      </c>
      <c r="J54" s="9" t="e">
        <f>#REF!&amp;#REF!</f>
        <v>#REF!</v>
      </c>
    </row>
    <row r="55" spans="9:10" x14ac:dyDescent="0.25">
      <c r="I55" s="9" t="e">
        <f>#REF!&amp;#REF!</f>
        <v>#REF!</v>
      </c>
      <c r="J55" s="9" t="e">
        <f>#REF!&amp;#REF!</f>
        <v>#REF!</v>
      </c>
    </row>
    <row r="56" spans="9:10" x14ac:dyDescent="0.25">
      <c r="I56" s="9" t="e">
        <f>#REF!&amp;#REF!</f>
        <v>#REF!</v>
      </c>
      <c r="J56" s="9" t="e">
        <f>#REF!&amp;#REF!</f>
        <v>#REF!</v>
      </c>
    </row>
    <row r="57" spans="9:10" x14ac:dyDescent="0.25">
      <c r="I57" s="9" t="e">
        <f>#REF!&amp;#REF!</f>
        <v>#REF!</v>
      </c>
      <c r="J57" s="9" t="e">
        <f>#REF!&amp;#REF!</f>
        <v>#REF!</v>
      </c>
    </row>
    <row r="58" spans="9:10" x14ac:dyDescent="0.25">
      <c r="I58" s="9" t="e">
        <f>#REF!&amp;#REF!</f>
        <v>#REF!</v>
      </c>
      <c r="J58" s="9" t="e">
        <f>#REF!&amp;#REF!</f>
        <v>#REF!</v>
      </c>
    </row>
    <row r="60" spans="9:10" x14ac:dyDescent="0.25">
      <c r="I60" s="9" t="e">
        <f>#REF!&amp;#REF!</f>
        <v>#REF!</v>
      </c>
      <c r="J60" s="9" t="e">
        <f>#REF!&amp;#REF!</f>
        <v>#REF!</v>
      </c>
    </row>
    <row r="61" spans="9:10" x14ac:dyDescent="0.25">
      <c r="I61" s="9" t="e">
        <f>#REF!&amp;#REF!</f>
        <v>#REF!</v>
      </c>
      <c r="J61" s="9" t="e">
        <f>#REF!&amp;#REF!</f>
        <v>#REF!</v>
      </c>
    </row>
    <row r="62" spans="9:10" x14ac:dyDescent="0.25">
      <c r="I62" s="9" t="e">
        <f>#REF!&amp;#REF!</f>
        <v>#REF!</v>
      </c>
      <c r="J62" s="9" t="e">
        <f>#REF!&amp;#REF!</f>
        <v>#REF!</v>
      </c>
    </row>
    <row r="63" spans="9:10" x14ac:dyDescent="0.25">
      <c r="I63" s="9" t="e">
        <f>#REF!&amp;#REF!</f>
        <v>#REF!</v>
      </c>
      <c r="J63" s="9" t="e">
        <f>#REF!&amp;#REF!</f>
        <v>#REF!</v>
      </c>
    </row>
    <row r="67" spans="12:12" x14ac:dyDescent="0.25">
      <c r="L6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ПоМ1</vt:lpstr>
      <vt:lpstr>ПоМ2</vt:lpstr>
      <vt:lpstr>ТМ1</vt:lpstr>
      <vt:lpstr>ТМ2</vt:lpstr>
      <vt:lpstr>ПМ1</vt:lpstr>
      <vt:lpstr>ПМ2</vt:lpstr>
      <vt:lpstr>ПМ3</vt:lpstr>
      <vt:lpstr>АМ1</vt:lpstr>
      <vt:lpstr>ДМ1</vt:lpstr>
      <vt:lpstr>ММ1</vt:lpstr>
      <vt:lpstr>ММ2</vt:lpstr>
      <vt:lpstr>ММ3</vt:lpstr>
      <vt:lpstr>ММ4</vt:lpstr>
      <vt:lpstr>ММ5</vt:lpstr>
      <vt:lpstr>КМ1</vt:lpstr>
      <vt:lpstr>КМ2</vt:lpstr>
      <vt:lpstr>Лист ож Москва</vt:lpstr>
      <vt:lpstr>Финалисты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HP</cp:lastModifiedBy>
  <cp:lastPrinted>2025-01-21T08:08:10Z</cp:lastPrinted>
  <dcterms:created xsi:type="dcterms:W3CDTF">2009-05-19T09:37:33Z</dcterms:created>
  <dcterms:modified xsi:type="dcterms:W3CDTF">2025-01-26T18:56:21Z</dcterms:modified>
</cp:coreProperties>
</file>